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08"/>
  <workbookPr/>
  <mc:AlternateContent xmlns:mc="http://schemas.openxmlformats.org/markup-compatibility/2006">
    <mc:Choice Requires="x15">
      <x15ac:absPath xmlns:x15ac="http://schemas.microsoft.com/office/spreadsheetml/2010/11/ac" url="https://sdhgovbr.sharepoint.com/sites/ObservatrioBrasileIgualdadedeGnero/Documentos Compartilhados/General/RASEAM/Raseam 2025/Tabelas modelo e recebidas/Por capítulo pós renumeração/"/>
    </mc:Choice>
  </mc:AlternateContent>
  <xr:revisionPtr revIDLastSave="3406" documentId="11_F2EE1F080EF33CA27CB0E713EB5141B5F0BE56BD" xr6:coauthVersionLast="47" xr6:coauthVersionMax="47" xr10:uidLastSave="{1D76E48E-08D3-4AA0-98DD-DC19C4FB26B9}"/>
  <bookViews>
    <workbookView xWindow="-108" yWindow="-108" windowWidth="23256" windowHeight="12456" firstSheet="56" activeTab="33" xr2:uid="{00000000-000D-0000-FFFF-FFFF00000000}"/>
  </bookViews>
  <sheets>
    <sheet name="5.Violência" sheetId="61" r:id="rId1"/>
    <sheet name="5.1" sheetId="1" r:id="rId2"/>
    <sheet name="5.2" sheetId="3" r:id="rId3"/>
    <sheet name="5.3" sheetId="4" r:id="rId4"/>
    <sheet name="5.4" sheetId="5" r:id="rId5"/>
    <sheet name="5.5" sheetId="6" r:id="rId6"/>
    <sheet name="5.6" sheetId="7" r:id="rId7"/>
    <sheet name="5.7" sheetId="8" r:id="rId8"/>
    <sheet name="5.8" sheetId="9" r:id="rId9"/>
    <sheet name="5.9" sheetId="10" r:id="rId10"/>
    <sheet name="5.10" sheetId="11" r:id="rId11"/>
    <sheet name="5.11" sheetId="12" r:id="rId12"/>
    <sheet name="5.12" sheetId="13" r:id="rId13"/>
    <sheet name="5.13" sheetId="14" r:id="rId14"/>
    <sheet name="5.14" sheetId="15" r:id="rId15"/>
    <sheet name="5.15" sheetId="16" r:id="rId16"/>
    <sheet name="5.16" sheetId="17" r:id="rId17"/>
    <sheet name="5.17" sheetId="18" r:id="rId18"/>
    <sheet name="5.18" sheetId="19" r:id="rId19"/>
    <sheet name="5.19" sheetId="20" r:id="rId20"/>
    <sheet name="5.20" sheetId="21" r:id="rId21"/>
    <sheet name="5.21" sheetId="22" r:id="rId22"/>
    <sheet name="5.22.a.b" sheetId="24" r:id="rId23"/>
    <sheet name="5.23" sheetId="23" r:id="rId24"/>
    <sheet name="5.24.a.b" sheetId="25" r:id="rId25"/>
    <sheet name="5.25" sheetId="27" r:id="rId26"/>
    <sheet name="5.26.a.b" sheetId="26" r:id="rId27"/>
    <sheet name="5.27.ab" sheetId="28" r:id="rId28"/>
    <sheet name="5.28.ab" sheetId="29" r:id="rId29"/>
    <sheet name="5.29.ab" sheetId="30" r:id="rId30"/>
    <sheet name="5.30.ab" sheetId="31" r:id="rId31"/>
    <sheet name="5.31.ab" sheetId="32" r:id="rId32"/>
    <sheet name="5.32.ab" sheetId="33" r:id="rId33"/>
    <sheet name="5.33.ab" sheetId="34" r:id="rId34"/>
    <sheet name="5.34.ab" sheetId="35" r:id="rId35"/>
    <sheet name="5.35.ab" sheetId="36" r:id="rId36"/>
    <sheet name="5.36.ab" sheetId="37" r:id="rId37"/>
    <sheet name="5.37.ab" sheetId="38" r:id="rId38"/>
    <sheet name="5.38.ab" sheetId="39" r:id="rId39"/>
    <sheet name="5.39.ab" sheetId="40" r:id="rId40"/>
    <sheet name="5.40.ab" sheetId="41" r:id="rId41"/>
    <sheet name="5.41.ab" sheetId="42" r:id="rId42"/>
    <sheet name="5.42.ab" sheetId="43" r:id="rId43"/>
    <sheet name="5.43" sheetId="44" r:id="rId44"/>
    <sheet name="5.44" sheetId="45" r:id="rId45"/>
    <sheet name="5.45" sheetId="46" r:id="rId46"/>
    <sheet name="5.46" sheetId="47" r:id="rId47"/>
    <sheet name="5.47" sheetId="48" r:id="rId48"/>
    <sheet name="5.48" sheetId="49" r:id="rId49"/>
    <sheet name="5.49" sheetId="50" r:id="rId50"/>
    <sheet name="5.50" sheetId="51" r:id="rId51"/>
    <sheet name="5.51" sheetId="52" r:id="rId52"/>
    <sheet name="5.52" sheetId="53" r:id="rId53"/>
    <sheet name="5.53" sheetId="54" r:id="rId54"/>
    <sheet name="5.54" sheetId="55" r:id="rId55"/>
    <sheet name="5.55" sheetId="56" r:id="rId56"/>
    <sheet name="5.56" sheetId="62" r:id="rId5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3" i="24" l="1"/>
  <c r="B41" i="25"/>
  <c r="B42" i="26"/>
  <c r="F26" i="32"/>
  <c r="F25" i="32"/>
  <c r="F24" i="32"/>
  <c r="F23" i="32"/>
  <c r="F22" i="32"/>
  <c r="F21" i="32"/>
  <c r="F20" i="32"/>
  <c r="E26" i="32"/>
  <c r="E25" i="32"/>
  <c r="E24" i="32"/>
  <c r="E23" i="32"/>
  <c r="E22" i="32"/>
  <c r="E21" i="32"/>
  <c r="E20" i="32"/>
  <c r="D14" i="26"/>
  <c r="D4" i="26"/>
  <c r="D5" i="26"/>
  <c r="D6" i="26"/>
  <c r="D7" i="26"/>
  <c r="D8" i="26"/>
  <c r="D9" i="26"/>
  <c r="D10" i="26"/>
  <c r="D11" i="26"/>
  <c r="D12" i="26"/>
  <c r="D13" i="26"/>
  <c r="D15" i="26"/>
  <c r="D16" i="26"/>
  <c r="D17" i="26"/>
  <c r="D18" i="26"/>
  <c r="D19" i="26"/>
  <c r="D20" i="26"/>
  <c r="D21" i="26"/>
  <c r="D22" i="26"/>
  <c r="D23" i="26"/>
  <c r="D24" i="26"/>
  <c r="D25" i="26"/>
  <c r="D26" i="26"/>
  <c r="D27" i="26"/>
  <c r="D28" i="26"/>
  <c r="D29" i="26"/>
  <c r="D30" i="26"/>
  <c r="D4" i="25"/>
  <c r="D5" i="25"/>
  <c r="D6" i="25"/>
  <c r="D7" i="25"/>
  <c r="D8" i="25"/>
  <c r="D9" i="25"/>
  <c r="D10" i="25"/>
  <c r="D11" i="25"/>
  <c r="D12" i="25"/>
  <c r="D13" i="25"/>
  <c r="D14" i="25"/>
  <c r="D15" i="25"/>
  <c r="D16" i="25"/>
  <c r="D17" i="25"/>
  <c r="D18" i="25"/>
  <c r="D19" i="25"/>
  <c r="D20" i="25"/>
  <c r="D21" i="25"/>
  <c r="D22" i="25"/>
  <c r="D23" i="25"/>
  <c r="D24" i="25"/>
  <c r="D25" i="25"/>
  <c r="D26" i="25"/>
  <c r="D27" i="25"/>
  <c r="D28" i="25"/>
  <c r="D29" i="25"/>
  <c r="D30" i="25"/>
  <c r="D48" i="24"/>
  <c r="D16" i="24"/>
  <c r="D4" i="24"/>
  <c r="D5" i="24"/>
  <c r="D6" i="24"/>
  <c r="D7" i="24"/>
  <c r="D8" i="24"/>
  <c r="D9" i="24"/>
  <c r="D10" i="24"/>
  <c r="D11" i="24"/>
  <c r="D12" i="24"/>
  <c r="D13" i="24"/>
  <c r="D14" i="24"/>
  <c r="D15" i="24"/>
  <c r="D17" i="24"/>
  <c r="D18" i="24"/>
  <c r="D19" i="24"/>
  <c r="D20" i="24"/>
  <c r="D21" i="24"/>
  <c r="D22" i="24"/>
  <c r="D23" i="24"/>
  <c r="D24" i="24"/>
  <c r="D25" i="24"/>
  <c r="D26" i="24"/>
  <c r="D27" i="24"/>
  <c r="D28" i="24"/>
  <c r="D29" i="24"/>
  <c r="D30" i="24"/>
  <c r="D43" i="24"/>
  <c r="B3" i="24"/>
  <c r="D3" i="24" s="1"/>
  <c r="B3" i="25"/>
  <c r="D3" i="25" s="1"/>
  <c r="B3" i="26"/>
  <c r="D3" i="26" s="1"/>
  <c r="D69" i="26"/>
  <c r="D68" i="26"/>
  <c r="D67" i="26"/>
  <c r="D66" i="26"/>
  <c r="D65" i="26"/>
  <c r="D64" i="26"/>
  <c r="D63" i="26"/>
  <c r="D62" i="26"/>
  <c r="D61" i="26"/>
  <c r="D60" i="26"/>
  <c r="D59" i="26"/>
  <c r="D58" i="26"/>
  <c r="D57" i="26"/>
  <c r="D56" i="26"/>
  <c r="D55" i="26"/>
  <c r="D54" i="26"/>
  <c r="D53" i="26"/>
  <c r="D52" i="26"/>
  <c r="D51" i="26"/>
  <c r="D50" i="26"/>
  <c r="D49" i="26"/>
  <c r="D48" i="26"/>
  <c r="D47" i="26"/>
  <c r="D46" i="26"/>
  <c r="D45" i="26"/>
  <c r="D44" i="26"/>
  <c r="D43" i="26"/>
  <c r="D42" i="26"/>
  <c r="D68" i="25"/>
  <c r="D67" i="25"/>
  <c r="D66" i="25"/>
  <c r="D65" i="25"/>
  <c r="D64" i="25"/>
  <c r="D63" i="25"/>
  <c r="D62" i="25"/>
  <c r="D61" i="25"/>
  <c r="D60" i="25"/>
  <c r="D59" i="25"/>
  <c r="D58" i="25"/>
  <c r="D57" i="25"/>
  <c r="D56" i="25"/>
  <c r="D55" i="25"/>
  <c r="D54" i="25"/>
  <c r="D53" i="25"/>
  <c r="D52" i="25"/>
  <c r="D51" i="25"/>
  <c r="D50" i="25"/>
  <c r="D49" i="25"/>
  <c r="D48" i="25"/>
  <c r="D47" i="25"/>
  <c r="D46" i="25"/>
  <c r="D45" i="25"/>
  <c r="D44" i="25"/>
  <c r="D43" i="25"/>
  <c r="D42" i="25"/>
  <c r="D41" i="25"/>
  <c r="D70" i="24"/>
  <c r="D69" i="24"/>
  <c r="D68" i="24"/>
  <c r="D67" i="24"/>
  <c r="D66" i="24"/>
  <c r="D65" i="24"/>
  <c r="D64" i="24"/>
  <c r="D63" i="24"/>
  <c r="D62" i="24"/>
  <c r="D61" i="24"/>
  <c r="D60" i="24"/>
  <c r="D59" i="24"/>
  <c r="D58" i="24"/>
  <c r="D57" i="24"/>
  <c r="D56" i="24"/>
  <c r="D55" i="24"/>
  <c r="D54" i="24"/>
  <c r="D53" i="24"/>
  <c r="D52" i="24"/>
  <c r="D51" i="24"/>
  <c r="D50" i="24"/>
  <c r="D49" i="24"/>
  <c r="D47" i="24"/>
  <c r="D46" i="24"/>
  <c r="D45" i="24"/>
  <c r="D44" i="24"/>
  <c r="C9" i="5"/>
  <c r="C8" i="5"/>
  <c r="C7" i="5"/>
  <c r="C6" i="5"/>
  <c r="C5" i="5"/>
  <c r="F21" i="31"/>
  <c r="E21" i="31"/>
  <c r="F20" i="31"/>
  <c r="E20" i="31"/>
  <c r="F19" i="31"/>
  <c r="E19" i="31"/>
  <c r="F7" i="31"/>
  <c r="E7" i="31"/>
  <c r="F6" i="31"/>
  <c r="E6" i="31"/>
  <c r="F5" i="31"/>
  <c r="E5" i="31"/>
  <c r="B8" i="42"/>
  <c r="F24" i="29"/>
  <c r="F23" i="29"/>
  <c r="F22" i="29"/>
  <c r="F21" i="29"/>
  <c r="F20" i="29"/>
  <c r="F19" i="29"/>
  <c r="F23" i="28"/>
  <c r="F22" i="28"/>
  <c r="F21" i="28"/>
  <c r="F20" i="28"/>
  <c r="F19" i="28"/>
  <c r="F18" i="28"/>
  <c r="F7" i="28"/>
  <c r="F3" i="28"/>
  <c r="C3" i="56"/>
  <c r="C8" i="54"/>
  <c r="C7" i="54"/>
  <c r="C6" i="54"/>
  <c r="C5" i="54"/>
  <c r="C4" i="54"/>
  <c r="C3" i="54"/>
  <c r="C6" i="55"/>
  <c r="C7" i="55"/>
  <c r="C5" i="55"/>
  <c r="C4" i="55"/>
  <c r="C10" i="47"/>
  <c r="C9" i="47"/>
  <c r="C8" i="47"/>
  <c r="C7" i="47"/>
  <c r="C6" i="47"/>
  <c r="C5" i="47"/>
  <c r="C4" i="47"/>
  <c r="C3" i="47"/>
  <c r="F23" i="43"/>
  <c r="F22" i="43"/>
  <c r="F21" i="43"/>
  <c r="F20" i="43"/>
  <c r="F19" i="43"/>
  <c r="F18" i="43"/>
  <c r="E23" i="43"/>
  <c r="E22" i="43"/>
  <c r="E21" i="43"/>
  <c r="E20" i="43"/>
  <c r="E19" i="43"/>
  <c r="E18" i="43"/>
  <c r="F9" i="43"/>
  <c r="F8" i="43"/>
  <c r="F7" i="43"/>
  <c r="F6" i="43"/>
  <c r="F5" i="43"/>
  <c r="F4" i="43"/>
  <c r="E9" i="43"/>
  <c r="E8" i="43"/>
  <c r="E7" i="43"/>
  <c r="E6" i="43"/>
  <c r="E5" i="43"/>
  <c r="E4" i="43"/>
  <c r="J25" i="41"/>
  <c r="J24" i="41"/>
  <c r="J23" i="41"/>
  <c r="J22" i="41"/>
  <c r="J21" i="41"/>
  <c r="J20" i="41"/>
  <c r="H25" i="41"/>
  <c r="H24" i="41"/>
  <c r="H23" i="41"/>
  <c r="H22" i="41"/>
  <c r="H21" i="41"/>
  <c r="H20" i="41"/>
  <c r="E25" i="41"/>
  <c r="E24" i="41"/>
  <c r="E23" i="41"/>
  <c r="E22" i="41"/>
  <c r="E21" i="41"/>
  <c r="E20" i="41"/>
  <c r="C25" i="41"/>
  <c r="C24" i="41"/>
  <c r="C23" i="41"/>
  <c r="C22" i="41"/>
  <c r="C21" i="41"/>
  <c r="C20" i="41"/>
  <c r="J9" i="41"/>
  <c r="J8" i="41"/>
  <c r="J7" i="41"/>
  <c r="J6" i="41"/>
  <c r="J5" i="41"/>
  <c r="J4" i="41"/>
  <c r="C9" i="41"/>
  <c r="C8" i="41"/>
  <c r="C7" i="41"/>
  <c r="C6" i="41"/>
  <c r="C5" i="41"/>
  <c r="C4" i="41"/>
  <c r="C14" i="37"/>
  <c r="C3" i="37"/>
  <c r="B3" i="56"/>
  <c r="C4" i="56" s="1"/>
  <c r="B3" i="47"/>
  <c r="B4" i="46"/>
  <c r="C4" i="46"/>
  <c r="D4" i="46"/>
  <c r="E4" i="46" s="1"/>
  <c r="F4" i="46"/>
  <c r="G4" i="46" s="1"/>
  <c r="H4" i="46"/>
  <c r="I5" i="46" s="1"/>
  <c r="C5" i="46"/>
  <c r="E5" i="46"/>
  <c r="G5" i="46"/>
  <c r="C6" i="46"/>
  <c r="G6" i="46"/>
  <c r="C11" i="46"/>
  <c r="E11" i="46"/>
  <c r="G11" i="46"/>
  <c r="C7" i="46"/>
  <c r="G7" i="46"/>
  <c r="C8" i="46"/>
  <c r="E8" i="46"/>
  <c r="G8" i="46"/>
  <c r="C9" i="46"/>
  <c r="G9" i="46"/>
  <c r="C10" i="46"/>
  <c r="E10" i="46"/>
  <c r="G10" i="46"/>
  <c r="B3" i="45"/>
  <c r="C6" i="45" s="1"/>
  <c r="C4" i="45"/>
  <c r="C7" i="45"/>
  <c r="C8" i="45"/>
  <c r="C10" i="45"/>
  <c r="C12" i="45"/>
  <c r="B3" i="44"/>
  <c r="C3" i="44" s="1"/>
  <c r="C4" i="44"/>
  <c r="C5" i="44"/>
  <c r="H8" i="29"/>
  <c r="H7" i="29"/>
  <c r="H6" i="29"/>
  <c r="H5" i="29"/>
  <c r="H4" i="29"/>
  <c r="E8" i="29"/>
  <c r="E7" i="29"/>
  <c r="E6" i="29"/>
  <c r="E5" i="29"/>
  <c r="E4" i="29"/>
  <c r="F8" i="29"/>
  <c r="F7" i="29"/>
  <c r="F6" i="29"/>
  <c r="F5" i="29"/>
  <c r="F4" i="29"/>
  <c r="F3" i="29"/>
  <c r="C4" i="29"/>
  <c r="C8" i="29"/>
  <c r="C7" i="29"/>
  <c r="C6" i="29"/>
  <c r="C5" i="29"/>
  <c r="C20" i="29"/>
  <c r="E20" i="29"/>
  <c r="H20" i="29"/>
  <c r="C21" i="29"/>
  <c r="E21" i="29"/>
  <c r="H21" i="29"/>
  <c r="C22" i="29"/>
  <c r="E22" i="29"/>
  <c r="H22" i="29"/>
  <c r="C23" i="29"/>
  <c r="E23" i="29"/>
  <c r="H23" i="29"/>
  <c r="C24" i="29"/>
  <c r="E24" i="29"/>
  <c r="H24" i="29"/>
  <c r="H8" i="28"/>
  <c r="H7" i="28"/>
  <c r="H6" i="28"/>
  <c r="H5" i="28"/>
  <c r="H4" i="28"/>
  <c r="F8" i="28"/>
  <c r="F6" i="28"/>
  <c r="F5" i="28"/>
  <c r="F4" i="28"/>
  <c r="C4" i="28"/>
  <c r="C5" i="56" l="1"/>
  <c r="C6" i="56"/>
  <c r="C5" i="45"/>
  <c r="I9" i="46"/>
  <c r="I7" i="46"/>
  <c r="I6" i="46"/>
  <c r="I4" i="46"/>
  <c r="C11" i="45"/>
  <c r="C3" i="45"/>
  <c r="E9" i="46"/>
  <c r="E7" i="46"/>
  <c r="E6" i="46"/>
  <c r="C6" i="44"/>
  <c r="C9" i="45"/>
  <c r="I10" i="46"/>
  <c r="I8" i="46"/>
  <c r="I11" i="46"/>
</calcChain>
</file>

<file path=xl/sharedStrings.xml><?xml version="1.0" encoding="utf-8"?>
<sst xmlns="http://schemas.openxmlformats.org/spreadsheetml/2006/main" count="1510" uniqueCount="625">
  <si>
    <t xml:space="preserve">5.Enfrentamento de todas as formas de violência contra as mulheres </t>
  </si>
  <si>
    <t>Tabela</t>
  </si>
  <si>
    <t>Indicador</t>
  </si>
  <si>
    <t>Fonte</t>
  </si>
  <si>
    <t>5.1</t>
  </si>
  <si>
    <t>Total de registros de violência doméstica, sexual e/ou outras violências por ano, segundo as Grandes Regiões de notificação - 2013-2023</t>
  </si>
  <si>
    <t>MS/Sinan</t>
  </si>
  <si>
    <t>5.2</t>
  </si>
  <si>
    <t>Percentual de registros de violência doméstica, sexual e/ou outras violências por ano, segundo o sexo – Brasil - 2013-2023</t>
  </si>
  <si>
    <t>5.3</t>
  </si>
  <si>
    <t xml:space="preserve">Total de registros de violências doméstica, sexual e/ou outras violências contra mulheres, por ano - Brasil - 2013-2023 </t>
  </si>
  <si>
    <t>5.4</t>
  </si>
  <si>
    <t>Registros de violência doméstica, sexual e/ou outras violências, total e distribuição percentual, segundo as Grandes Regiões de notificação - 2023</t>
  </si>
  <si>
    <t>5.5</t>
  </si>
  <si>
    <t>Registros de violência doméstica, sexual e/ou outras violências contra mulheres, total e distribuição percentual, segundo o sexo do(a) agressor(a) - Brasil - 2023</t>
  </si>
  <si>
    <t>5.6</t>
  </si>
  <si>
    <t>Registros de violência doméstica, sexual e/ou outras violências em que se suspeita o uso de álcool pelo(a) agressor(a), total e distribuição percentual, por sexo da vítima, segundo Grandes Regiões de notificação - 2023</t>
  </si>
  <si>
    <t>5.7</t>
  </si>
  <si>
    <t>Registros de violência doméstica, sexual e/ou outras violências contra mulheres adultas, de 20 a 59 anos de idade, total e distribuição percentual, segundo a cor ou raça da vítima - Brasil - 2023</t>
  </si>
  <si>
    <t>5.8</t>
  </si>
  <si>
    <t>Registros de violência doméstica, sexual e/ outras violências contra mulheres adultas, de 20 a 59 anos de idade, total e distribuição percentual, segundo a situação conjugal da vítima - Brasil - 2023</t>
  </si>
  <si>
    <t>5.9</t>
  </si>
  <si>
    <t>Registros de violência doméstica, sexual e/ou outras violências contra mulheres adultas, de 20 a 59 anos, com algum tipo de deficiência/transtorno, total e distribuição percentual, segundo o tipo de deficiência da vítima - Brasil - 2023</t>
  </si>
  <si>
    <t>5.10</t>
  </si>
  <si>
    <t>Registros de violência doméstica, sexual e/ou outras violências contra mulheres adultas, de 20 a 59 anos, total e distribuição percentual, segundo a situação do domicílio - Brasil - 2023</t>
  </si>
  <si>
    <t>5.11</t>
  </si>
  <si>
    <t>Registros de violência doméstica, sexual e/ou outras violências contra mulheres adultas, de 20 a 59 anos, total e proporção dos casos de violência de repetição - Brasil - 2023</t>
  </si>
  <si>
    <t>5.12</t>
  </si>
  <si>
    <t>Registros de violêncis doméstica, sexual e outras violências contra mulheres adultas, de 20 a 59 anos de idade, total e distribuição percentual, segundo o local de ocorrência - Brasil - 2023</t>
  </si>
  <si>
    <t>5.13</t>
  </si>
  <si>
    <t>Registros de violência doméstica, sexual e/ou outras violências, por sexo, total e distribuição percentual, segundo o tipo de violência - Brasil - 2023</t>
  </si>
  <si>
    <t>5.14</t>
  </si>
  <si>
    <t>Registros de violência doméstica, sexual e/ou outras violências contra mulheres adultas, de 20 a 59 anos de idade, total e distribuição percentual, segundo o meio de agressão - Brasil - 2023</t>
  </si>
  <si>
    <t>5.15</t>
  </si>
  <si>
    <t>Casos de violência de repetição nos registros de violências doméstica, sexual e/ou outras violências contra mulheres adultas, de 20 a 59 anos, total e proporção, segundo as Grandes Regiões de notificação - 2023</t>
  </si>
  <si>
    <t>5.16</t>
  </si>
  <si>
    <t>Registros de violências doméstica, sexual e/ou outras violências em que se suspeita o uso de álcool pelo(a) agressor(a), total e proporção em relação ao total de casos, segundo o sexo da vítima - Brasil - 2023</t>
  </si>
  <si>
    <t>5.17</t>
  </si>
  <si>
    <t>Total e taxa padronizada de mortalidade por homicídio (por 100.000 habitantes), por sexo, segundo as Grandes Regiões  - 2023</t>
  </si>
  <si>
    <t>MS/SIM</t>
  </si>
  <si>
    <t>5.18</t>
  </si>
  <si>
    <t>Taxa de mortalidade por homicídio específica por sexo (por 100.000 habitantes), segundo os grupos de idade  - Brasil - 2023</t>
  </si>
  <si>
    <t>5.19</t>
  </si>
  <si>
    <t>Número de óbitos de mulheres por homicídio, total e distribuição percentual, segundo a cor ou raça - Brasil - 2023</t>
  </si>
  <si>
    <t>5.20</t>
  </si>
  <si>
    <t xml:space="preserve">Total e taxa padronizada de mortalidade por homicídio e variação relativa, segundo o sexo (por 100.000 habitantes) – Brasil - 2012 e 2023 </t>
  </si>
  <si>
    <t>5.21</t>
  </si>
  <si>
    <t>Ocorrências policiais de feminicídio por ano - Brasil - 2015-2024</t>
  </si>
  <si>
    <t>MJSP/ Secretaria Nacional de Segurança Pública</t>
  </si>
  <si>
    <t>5.22.a</t>
  </si>
  <si>
    <t>Ocorrências policiais de feminicídio, total e taxa (por 100 mil mulheres), por Unidade da Federação - 2024</t>
  </si>
  <si>
    <t>5.22.b</t>
  </si>
  <si>
    <t>Ocorrências policiais de feminicídio, total e taxa (por 100 mil mulheres), por Unidade da Federação - 2023</t>
  </si>
  <si>
    <t>5.23</t>
  </si>
  <si>
    <t>Ocorrências policiais de homicídio doloso e de lesão corporal seguida de morte de mulheres - Brasil - 2015-2024</t>
  </si>
  <si>
    <t>5.24.a</t>
  </si>
  <si>
    <t>Ocorrências policiais de homicídio doloso e de lesão corporal seguida de morte de mulheres, total e taxa (por 100 mil mulheres), por Unidade da Federação - 2024</t>
  </si>
  <si>
    <t>5.24.b</t>
  </si>
  <si>
    <t>Ocorrências policiais de homicídio doloso e de lesão corporal seguida de morte de mulheres, total e taxa (por 100 mil mulheres), por Unidade da Federação - 2023</t>
  </si>
  <si>
    <t>5.25</t>
  </si>
  <si>
    <t>Ocorrências policiais de estupros com vítimas do sexo feminino - Brasil - 2013-2024</t>
  </si>
  <si>
    <t>5.26.a</t>
  </si>
  <si>
    <t>Ocorrências policiais de estupros com vítimas do sexo feminino, total e taxa (por 100 mil mulheres), por Unidade da Federação - 2024</t>
  </si>
  <si>
    <t>5.26.b</t>
  </si>
  <si>
    <t>Ocorrências policiais de estupros com vítimas do sexo feminino, total e taxa (por 100 mil mulheres), por Unidade da Federação - 2023</t>
  </si>
  <si>
    <t>5.27.a</t>
  </si>
  <si>
    <t>População carcerária feminina, vagas disponíveis para mulheres no sistema penitenciário brasileiro, taxa de ocupação carcerária e estabelecimentos penais femininos, total e distribuição percentual, segundo as Grandes Regiões - junho de 2024</t>
  </si>
  <si>
    <t>MJSP/SISDEPEN</t>
  </si>
  <si>
    <t>5.27.b</t>
  </si>
  <si>
    <t>População carcerária feminina, vagas disponíveis para mulheres no sistema penitenciário brasileiro, taxa de ocupação carcerária e estabelecimentos penais femininos, total e distribuição percentual, segundo as Grandes Regiões - dezembro de 2023</t>
  </si>
  <si>
    <t>5.28.a</t>
  </si>
  <si>
    <t>População carcerária masculina, vagas disponíveis para homens no sistema penitenciário brasileiro, taxa de ocupação carcerária e estabelecimentos penais masculinos, total e distribuição percentual, segundo as Grandes Regiões - junho de 2024</t>
  </si>
  <si>
    <t>5.28.b</t>
  </si>
  <si>
    <t>População carcerária masculina, vagas disponíveis para homens no sistema penitenciário brasileiro, taxa de ocupação carcerária e estabelecimentos penais masculinos, total e distribuição percentual, segundo as Grandes Regiões - dezembro de 2023</t>
  </si>
  <si>
    <t>5.29.a</t>
  </si>
  <si>
    <t>População carcerária feminina, total e distribuição percentual,  segundo a cor ou raça - Brasil - junho de 2024</t>
  </si>
  <si>
    <t>5.29.b</t>
  </si>
  <si>
    <t>População carcerária feminina, total e distribuição percentual,  segundo a cor ou raça - Brasil - dezembro de 2023</t>
  </si>
  <si>
    <t>5.30.a</t>
  </si>
  <si>
    <t>População carcerária feminina, total e distribuição percentual , segundo nacionalidade (brasileira(o) nata(o), brasileira(o) naturalizada(o) e estrangeira(o)) – Brasil - junho de 2024</t>
  </si>
  <si>
    <t>5.30.b</t>
  </si>
  <si>
    <t>População carcerária feminina, total e distribuição percentual , segundo nacionalidade (brasileira(o) nata(o), brasileira(o) naturalizada(o) e estrangeira(o)) – Brasil - dezembro de 2023</t>
  </si>
  <si>
    <t>5.31.a</t>
  </si>
  <si>
    <t>População prisional em cumprimento de pena, total e distribuição percentual por sexo, segundo o tipo de regime prisional - Brasil - junho de 2024</t>
  </si>
  <si>
    <t>5.31.b</t>
  </si>
  <si>
    <t>População prisional em cumprimento de pena, total e distribuição percentual por sexo, segundo o tipo de regime prisional - Brasil - dezembro de 2023</t>
  </si>
  <si>
    <t>5.32.a</t>
  </si>
  <si>
    <t>População carcerária, total e distribuição percentual por sexo, segundo os crimes tentados/consumados - Brasil - junho de 2024</t>
  </si>
  <si>
    <t>5.32.b</t>
  </si>
  <si>
    <t>População carcerária, total e distribuição percentual por sexo, segundo os crimes tentados/consumados - Brasil - dezembro de 2023</t>
  </si>
  <si>
    <t>5.33.a</t>
  </si>
  <si>
    <t>População carcerária feminina, total e distribuição percentual, segundo a faixa etária - Brasil - junho de 2024</t>
  </si>
  <si>
    <t>5.33.b</t>
  </si>
  <si>
    <t>População carcerária feminina, total e distribuição percentual, segundo a faixa etária - Brasil - dezembro de 2023</t>
  </si>
  <si>
    <t>5.34.a</t>
  </si>
  <si>
    <t>População carcerária feminina, total e distribuição percentual, segundo a escolaridade - Brasil -junho de 2024</t>
  </si>
  <si>
    <t>5.34.b</t>
  </si>
  <si>
    <t>População carcerária feminina, total e distribuição percentual, segundo a escolaridade - Brasil - dezembro de 2023</t>
  </si>
  <si>
    <t>5.35.a</t>
  </si>
  <si>
    <t>População carcerária feminina, total e proporção, segundo as atividades educacionais em que estão envolvidas - Brasil - junho de 2024</t>
  </si>
  <si>
    <t>5.35.b</t>
  </si>
  <si>
    <t>População carcerária feminina, total e proporção, segundo as atividades educacionais em que estão envolvidas - Brasil - dezembro de 2023</t>
  </si>
  <si>
    <t>5.36.a</t>
  </si>
  <si>
    <t>População carcerária feminina, total e proporção em atividade laboral - Brasil - junho de 2024</t>
  </si>
  <si>
    <t>5.36.b</t>
  </si>
  <si>
    <t>População carcerária feminina, total e proporção em atividade laboral - Brasil - dezembro de 2023</t>
  </si>
  <si>
    <t>5.37.a</t>
  </si>
  <si>
    <t>Taxa de encarceramento por 100 mil habitantes, por sexo, segundo a cor ou raça - Brasil - junho de 2024</t>
  </si>
  <si>
    <t>5.37.b</t>
  </si>
  <si>
    <t>Taxa de encarceramento por 100 mil habitantes, por sexo, segundo a cor ou raça - Brasil - dezembro de 2023</t>
  </si>
  <si>
    <t>5.38.a</t>
  </si>
  <si>
    <t>Taxa de encarceramento de mulheres (por 100 mil), segundo a faixa etária - Brasil -junho de 2024</t>
  </si>
  <si>
    <t>5.38.b</t>
  </si>
  <si>
    <t>Taxa de encarceramento de mulheres (por 100 mil), segundo a faixa etária - Brasil - dezembro de 2023</t>
  </si>
  <si>
    <t>5.39.a</t>
  </si>
  <si>
    <t>Taxa de encarceramento de mulheres (por 100 mil), segundo a escolaridade - Brasil - junho de 2024</t>
  </si>
  <si>
    <t>5.39.b</t>
  </si>
  <si>
    <t>Taxa de encarceramento de mulheres (por 100 mil), segundo a escolaridade - Brasil - dezembro de 2023</t>
  </si>
  <si>
    <t>5.40.a</t>
  </si>
  <si>
    <t>Mulheres gestantes e lactantes em estabelecimentos prisionais, estabelecimentos que possuem celas ou dormitórios adequados para gestantes, filhos que estão com suas mães em estabelecimentos prisionais femininos, estabelecimentos que possuem berçários ou creches e  capacidade dos berçarios ou creches, total e proporção, segundo as Grandes Regiões - junho de 2024</t>
  </si>
  <si>
    <t>5.40.b</t>
  </si>
  <si>
    <t>Mulheres gestantes e lactantes em estabelecimentos prisionais, estabelecimentos que possuem celas ou dormitórios adequados para gestantes, filhos que estão com suas mães em estabelecimentos prisionais femininos, estabelecimentos que possuem berçários ou creches e  capacidade dos berçarios ou creches, total e proporção, segundo as Grandes Regiões - dezembro de 2023</t>
  </si>
  <si>
    <t>5.41.a</t>
  </si>
  <si>
    <t>População carcerária, total e distribuição percentual, por sexo, segundo o tempo de pena total - Brasil - dezembro de 2023</t>
  </si>
  <si>
    <t>5.41.b</t>
  </si>
  <si>
    <t>5.42.a</t>
  </si>
  <si>
    <t>Óbitos no sistema penitenciário, total e proporção, por sexo, segundo as causas - Brasil - junho de 2024</t>
  </si>
  <si>
    <t>5.42.b</t>
  </si>
  <si>
    <t>Óbitos no sistema penitenciário, total e proporção, por sexo, segundo as causas - Brasil - dezembro de 2023</t>
  </si>
  <si>
    <t>5.43</t>
  </si>
  <si>
    <t>Denúncias de transfobia, total e distribuição percentual  - Brasil -2023</t>
  </si>
  <si>
    <t xml:space="preserve">MDHC/ Disque 100 </t>
  </si>
  <si>
    <t>5.44</t>
  </si>
  <si>
    <t>Relatos de lesbofobia, total e distribuição percentual, segundo o tipo de violência – Brasil - 2023</t>
  </si>
  <si>
    <t>5.45</t>
  </si>
  <si>
    <t>Vítimas de violência institucional, total e distribuição percentual, por sexo, segundo o segmento – Brasil -2023</t>
  </si>
  <si>
    <t>5.46</t>
  </si>
  <si>
    <t>Violações relatadas  contra a mulher, total e distribuição percentual, segundo o tipo de violação de direitos - Brasil - 1° semestre de 2024</t>
  </si>
  <si>
    <t>Ministério das Mulheres/ Ligue 180</t>
  </si>
  <si>
    <t>5.47</t>
  </si>
  <si>
    <t>Mulheres em situação de violência, total e distribuição percentual, segundo a relação do(a) agressor(a) com a vítima - Brasil - 1° semestre de 2024</t>
  </si>
  <si>
    <t>5.48</t>
  </si>
  <si>
    <t>Mulheres em situação de violência, total e distribuição percentual, segundo a cor ou raça - Brasil - 1° semestre de 2024</t>
  </si>
  <si>
    <t>5.49</t>
  </si>
  <si>
    <t>Mulheres em situação de violência, total e distribuição percentual, segundo os grupos de idade – Brasil - 1° semestre de 2024</t>
  </si>
  <si>
    <t>5.50</t>
  </si>
  <si>
    <t>Mulheres em situação de violência, total e distribuição percentual, segundo a escolaridade – Brasil - 1° semestre de 2024</t>
  </si>
  <si>
    <t>5.51</t>
  </si>
  <si>
    <t>Mulheres em situação de violência, total e distribuição percentual, segundo as Grandes Regiões - 1° semestre de 2024</t>
  </si>
  <si>
    <t>5.52</t>
  </si>
  <si>
    <t>Relatos de violência, total e distribuição percentual, segundo as Grandes Regiões - 1° semestre de 2024</t>
  </si>
  <si>
    <t>5.53</t>
  </si>
  <si>
    <t>Relatos de violência psicológica contra a mulher, total e distribuição percentual, segundo o tipo de violência psicológica - Brasil - 1° semestre de 2024</t>
  </si>
  <si>
    <t>Ministério das Mulheres/Ligue 180</t>
  </si>
  <si>
    <t>5.54</t>
  </si>
  <si>
    <t>Relatos de violência sexual contra a mulher, total e distribuição percentual, segundo o tipo de violência sexual - Brasil - 1° semestre de 2024</t>
  </si>
  <si>
    <t>5.55</t>
  </si>
  <si>
    <t>Relatos de violência moral contra a mulher, total e distribuição percentual, segundo o tipo de violência moral -Brasil - 1° semestre de 2024</t>
  </si>
  <si>
    <t>5.56</t>
  </si>
  <si>
    <t>Serviços especializados de atendimento a mulheres em situação de violência, por Grandes Regiões, segundo os tipos de serviço - 2024</t>
  </si>
  <si>
    <t>Ministério das Mulheres/ SENEV</t>
  </si>
  <si>
    <t>Tabela 5.1 - Total de registros de violências doméstica, sexual e/ou outras violências por ano, segundo as Grandes Regiões de notificação - 2013-2023</t>
  </si>
  <si>
    <t>Grandes Regiões</t>
  </si>
  <si>
    <t>Brasil</t>
  </si>
  <si>
    <t>Norte</t>
  </si>
  <si>
    <t>Nordeste</t>
  </si>
  <si>
    <t>Sudeste</t>
  </si>
  <si>
    <t xml:space="preserve">Sul </t>
  </si>
  <si>
    <t>Centro-Oeste</t>
  </si>
  <si>
    <t>Fonte: Ministério da Saúde, Sistema de Informação de Agravos de Notificação – SINAN.</t>
  </si>
  <si>
    <t>Notas: 1. Dados de 2023 são preliminares e estão sujeitos a revisões e alterações. </t>
  </si>
  <si>
    <r>
      <t xml:space="preserve">2.  Para a captação da informação sobre violência doméstica, sexual e outras violências utilizou-se o registro de notificações de </t>
    </r>
    <r>
      <rPr>
        <b/>
        <sz val="10"/>
        <color rgb="FF000000"/>
        <rFont val="Verdana"/>
        <family val="2"/>
      </rPr>
      <t>violência interpessoal</t>
    </r>
    <r>
      <rPr>
        <sz val="10"/>
        <color rgb="FF000000"/>
        <rFont val="Verdana"/>
        <family val="2"/>
      </rPr>
      <t xml:space="preserve"> do módulo de doenças e agravos do Sistema de Informação de Agravos de Notificação. Foram considerados casos de violência interpessoal registros em que os campos 53 (“A lesão foi autoprovocada?”) e 61 (“Vínculo/grau de parentesco com a pessoa atendida – própria pessoa”) foram identificados como diferentes de “Sim”.</t>
    </r>
  </si>
  <si>
    <t>Tabela 5.2 - Percentual de registros de violências doméstica, sexual e/ou outras violências por ano, segundo o sexo – Brasil - 2013-2023</t>
  </si>
  <si>
    <t>Sexo</t>
  </si>
  <si>
    <t>Mulheres (%)</t>
  </si>
  <si>
    <t>Homens (%)</t>
  </si>
  <si>
    <t>Notas: 1.Dados de 2023 são preliminares e estão sujeitos a revisões e alterações.</t>
  </si>
  <si>
    <r>
      <rPr>
        <sz val="10"/>
        <color rgb="FF000000"/>
        <rFont val="Verdana"/>
      </rPr>
      <t xml:space="preserve">2. Para a captação da informação sobre violência doméstica, sexual e outras violências utilizou-se o registro de notificações de </t>
    </r>
    <r>
      <rPr>
        <b/>
        <sz val="10"/>
        <color rgb="FF000000"/>
        <rFont val="Verdana"/>
      </rPr>
      <t>violência interpessoa</t>
    </r>
    <r>
      <rPr>
        <sz val="10"/>
        <color rgb="FF000000"/>
        <rFont val="Verdana"/>
      </rPr>
      <t>l do módulo de doenças e agravos do Sistema de Informação de Agravos de Notificação. Foram considerados casos de violência interpessoal registros em que os campos 53 (“A lesão foi autoprovocada?”) e 61 (“Vínculo/grau de parentesco com a pessoa atendida – própria pessoa”) foram identificados como diferentes de “Sim”.</t>
    </r>
  </si>
  <si>
    <t xml:space="preserve">Tabela 5.3 - Total de registros de violências doméstica, sexual e/ou outras violências contra mulheres, por ano - Brasil - 2013-2023 </t>
  </si>
  <si>
    <t xml:space="preserve">Ano </t>
  </si>
  <si>
    <t>Total</t>
  </si>
  <si>
    <t>Notas: 1. Dados de 2023 são preliminares e estão sujeitos a revisões e alterações.</t>
  </si>
  <si>
    <r>
      <rPr>
        <sz val="10"/>
        <color rgb="FF000000"/>
        <rFont val="Verdana"/>
      </rPr>
      <t xml:space="preserve">2. Para a captação da informação sobre violência doméstica, sexual e outras violências utilizou-se o registro de notificações de </t>
    </r>
    <r>
      <rPr>
        <b/>
        <sz val="10"/>
        <color rgb="FF000000"/>
        <rFont val="Verdana"/>
      </rPr>
      <t>violência interpessoal</t>
    </r>
    <r>
      <rPr>
        <sz val="10"/>
        <color rgb="FF000000"/>
        <rFont val="Verdana"/>
      </rPr>
      <t xml:space="preserve"> do módulo de doenças e agravos do Sistema de Informação de Agravos de Notificação. Foram considerados casos de violência interpessoal registros em que os campos 53 (“A lesão foi autoprovocada?”) e 61 (“Vínculo/grau de parentesco com a pessoa atendida – própria pessoa”) foram identificados como diferentes de “Sim”.</t>
    </r>
  </si>
  <si>
    <t>Tabela 5.4 - Registros de violências doméstica, sexual e/ou outras violências contra mulheres, total e distribuição percentual,  segundo as Grandes Regiões de notificação - 2023</t>
  </si>
  <si>
    <t>Distribuição (%)</t>
  </si>
  <si>
    <t>Sul</t>
  </si>
  <si>
    <t>Fonte: Ministério da Saúde, Sistema de Informação de Agravos de Notificação - SINAN.</t>
  </si>
  <si>
    <t>Notas: 1. Dados  são preliminares e estão sujeitos a revisões e alterações. </t>
  </si>
  <si>
    <t>3. Exclusive Ignorados.</t>
  </si>
  <si>
    <t>Tabela 5.5. Registros de violências doméstica, sexual e/ou outras violências contra mulheres, total e distribuição percentual, segundo o sexo do(a) agressor(a) - Brasil - 2023</t>
  </si>
  <si>
    <t>Sexo do(a) agressor(a)</t>
  </si>
  <si>
    <t>Masculino</t>
  </si>
  <si>
    <t>Feminino</t>
  </si>
  <si>
    <t>Ambos os sexos</t>
  </si>
  <si>
    <t>Sem informação</t>
  </si>
  <si>
    <t>NA</t>
  </si>
  <si>
    <t xml:space="preserve">Notas: 1. Dados são preliminares e estão sujeitos a revisões e alterações. </t>
  </si>
  <si>
    <t>Tabela 5.6 - Registros de violências doméstica, sexual e/ou outras violências em que se suspeita o uso de álcool pelo(a) agressor(a), total e distribuição percentual, por sexo da vítima, segundo as Grandes Regiões de notificação - 2023</t>
  </si>
  <si>
    <t xml:space="preserve">Mulheres </t>
  </si>
  <si>
    <t>Homens</t>
  </si>
  <si>
    <t>Tabela 5.7 - Registros de violência doméstica, sexual e/ou outras violências contra mulheres adultas, de 20 a 59 anos de idade, total e distribuição percentual, segundo a cor ou raça da vítima - Brasil - 2023</t>
  </si>
  <si>
    <t>Cor ou raça</t>
  </si>
  <si>
    <t>Branca</t>
  </si>
  <si>
    <t>Preta</t>
  </si>
  <si>
    <t>Amarela</t>
  </si>
  <si>
    <t>Parda</t>
  </si>
  <si>
    <t>Indígena</t>
  </si>
  <si>
    <t xml:space="preserve">Notas: 1. Dados  são preliminares e estão sujeitos a revisões e alterações.  </t>
  </si>
  <si>
    <t>2. Para a captação da informação sobre violência doméstica, sexual e outras violências utilizou-se o registro de notificações de violência interpessoal do módulo de doenças e agravos do Sistema de Informação de Agravos de Notificação. Foram considerados casos de violência interpessoal registros em que os campos 53 (“A lesão foi autoprovocada?”) e 61 (“Vínculo/grau de parentesco com a pessoa atendida – própria pessoa”) foram identificados como diferentes de “Sim”.</t>
  </si>
  <si>
    <t>Tabela 5.8 - Registros de violências doméstica, sexual e/ou outras violências contra mulheres adultas, de 20 a 59 anos de idade, total e distribuição percentual, segundo a situação conjugal da vítima - Brasil - 2023</t>
  </si>
  <si>
    <t>Situação conjugal</t>
  </si>
  <si>
    <t xml:space="preserve"> Distribuição (%)</t>
  </si>
  <si>
    <t>Solteira(o)</t>
  </si>
  <si>
    <t>Casada(o)/união consensual</t>
  </si>
  <si>
    <t>Viúva(o)</t>
  </si>
  <si>
    <t>Separada(o)</t>
  </si>
  <si>
    <t>Não se aplica</t>
  </si>
  <si>
    <t>Tabela 5.9 - Registros de violências doméstica, sexual e/ou outras violências contra mulheres adultas, de 20 a 59 anos, com algum tipo de deficiência/transtorno, total e distribuição percentual, segundo o tipo de deficiência da vítima - Brasil - 2023</t>
  </si>
  <si>
    <t>Tipo de deficiência</t>
  </si>
  <si>
    <t xml:space="preserve">Total </t>
  </si>
  <si>
    <t>Física</t>
  </si>
  <si>
    <t>Intelectual</t>
  </si>
  <si>
    <t>Visual</t>
  </si>
  <si>
    <t>Auditiva</t>
  </si>
  <si>
    <t>Transtorno mental</t>
  </si>
  <si>
    <t>Transtorno de comportamento</t>
  </si>
  <si>
    <t>Outra deficiência</t>
  </si>
  <si>
    <t xml:space="preserve">Notas: 1.Dados são preliminares e estão sujeitos a revisões e alterações. </t>
  </si>
  <si>
    <t>3. Os dados sobre o tipo de deficiência/transtorno só são apresentados para os casos em que o campo 38('Possui deficiência/transtorno') foi preenchido com a opção '1-Sim'. As categorias desta variável são de preenchimento múltiplo (um mesmo registro pode apresentar mais de uma deficiência/transtorno).</t>
  </si>
  <si>
    <t>Tabela 5.10 - Registros de violências doméstica, sexual e/ou outras violências contra mulheres adultas, de 20 a 59 anos, total e distribuição percentual, segundo a situação do domicílio - Brasil - 2023</t>
  </si>
  <si>
    <t>Situação do domicílio</t>
  </si>
  <si>
    <t>  Urbana</t>
  </si>
  <si>
    <t>  Rural</t>
  </si>
  <si>
    <t>  Periurbana</t>
  </si>
  <si>
    <t>  Sem informação</t>
  </si>
  <si>
    <t>3. Utilizou-se o campo 31 ("Zona de residência") para a variável situação do domicílio.</t>
  </si>
  <si>
    <t>Tabela 5.11 - Registros de violências doméstica, sexual e/ou outras violências contra mulheres adultas, de 20 a 59 anos, total e proporção dos casos de violência de repetição - Brasil - 2023</t>
  </si>
  <si>
    <t>Violência de repetição</t>
  </si>
  <si>
    <t>Proporção (%)</t>
  </si>
  <si>
    <t>Casos de violência de repetição</t>
  </si>
  <si>
    <t>Tabela 5.12 - Registros de violências doméstica, sexual e/ou outras violências contra mulheres adultas, de 20 a 59 anos de idade, total e distribuição percentual, segundo o local de ocorrência - Brasil - 2023</t>
  </si>
  <si>
    <t>Local de ocorrência</t>
  </si>
  <si>
    <t>  Residência</t>
  </si>
  <si>
    <t>  Habitação coletiva</t>
  </si>
  <si>
    <t>  Escola</t>
  </si>
  <si>
    <t>  Local de prática esportiva</t>
  </si>
  <si>
    <t>  Bar ou similar</t>
  </si>
  <si>
    <t>  Via pública</t>
  </si>
  <si>
    <t>  Comércio/serviços</t>
  </si>
  <si>
    <t>  Indústrias/construção</t>
  </si>
  <si>
    <t>  Outros</t>
  </si>
  <si>
    <t>Tabela 5.13 - Registros de violências doméstica, sexual e/ou outras violências contra as mulheres, total e distribuição percentual, segundo o tipo de violência - Brasil - 2023</t>
  </si>
  <si>
    <t>Tipo de violência</t>
  </si>
  <si>
    <t>Mulheres</t>
  </si>
  <si>
    <t>Psiológica/moral</t>
  </si>
  <si>
    <t>Negligência/abandono</t>
  </si>
  <si>
    <t>Sexual</t>
  </si>
  <si>
    <t>Tráfico de seres humanos</t>
  </si>
  <si>
    <t>Financeira</t>
  </si>
  <si>
    <t>Tortura</t>
  </si>
  <si>
    <t>Trabalho infantil</t>
  </si>
  <si>
    <t>Intervenção legal</t>
  </si>
  <si>
    <t>Outros</t>
  </si>
  <si>
    <t>3. As categorias desta variável possuem preenchimento múltiplo (um mesmo registro pode apresentar mais de um tipo de violência).</t>
  </si>
  <si>
    <t>Tabela 5.14 - Registros de violências doméstica, sexual e/ou outras violências contra mulheres adultas, de 20 a 59 anos de idade, total e distribuição percentual, segundo o meio de agressão - Brasil - 2023</t>
  </si>
  <si>
    <t>Meio de agressão</t>
  </si>
  <si>
    <t>  Objeto perfurocortante</t>
  </si>
  <si>
    <t>  Arma de fogo</t>
  </si>
  <si>
    <t>  Objeto contundente</t>
  </si>
  <si>
    <t>  Força corporal/espancamento</t>
  </si>
  <si>
    <t>  Enforcamento/sufocação</t>
  </si>
  <si>
    <t xml:space="preserve">  Substância/objetos quentes</t>
  </si>
  <si>
    <t>  Envenenamento</t>
  </si>
  <si>
    <t>  Ameaça</t>
  </si>
  <si>
    <t>Notas: 1. Dados são preliminares e estão sujeitos a revisões e alterações.  </t>
  </si>
  <si>
    <t>3. As categorias desta variável são de preenchimento múltiplo (um mesmo registro pode apresentar mais de um meio de agressão).</t>
  </si>
  <si>
    <t>Tabela 5.15 -  Casos de violência de repetição nos registros de violências doméstica, sexual e/ou outras violências contra mulheres adultas, de 20 a 59 anos, total e proporção, segundo as Grandes Regiões de notificação - 2023</t>
  </si>
  <si>
    <t>Tabela 5.16 - Registros de violências doméstica, sexual e/ou outras violências em que se suspeita o uso de álcool pelo(a) agressor(a), total e proporção em relação ao total de casos, segundo o sexo da vítima - Brasil - 2023</t>
  </si>
  <si>
    <t>Sexo da vítima</t>
  </si>
  <si>
    <t xml:space="preserve">Notas: 1. Dados  são preliminares e estão sujeitos a revisões e alterações. </t>
  </si>
  <si>
    <t>Tabela 5.17 - Mortalidade por homicídio, total e taxa padronizada (por 100.000 habitantes), por sexo, segundo as Grandes Regiões  - 2023</t>
  </si>
  <si>
    <t>Taxa padronizada (por 100.000 habitantes)</t>
  </si>
  <si>
    <t>Taxa padronizada (por 100.000 mulheres)</t>
  </si>
  <si>
    <t>Taxa padronizada (por 100.000 homens)</t>
  </si>
  <si>
    <t>Fonte: Ministério da Saúde, Sistema de Informações sobre Mortalidade - SIM e IBGE, Projeção da população.</t>
  </si>
  <si>
    <t xml:space="preserve">Notas: 1. Para o levantamento de informações sobre homicídio são utilizadas as categorias CID-10: X85 a Y09; Y35; Y22-Y24; Y87.1; Y89.0 registradas no Sistema de Informações sobre Mortalidade. 											</t>
  </si>
  <si>
    <t>2. Os dados são preliminares, de acordo com a Portaria SVS/MS nº 116/2009, e estão sujeitos a revisões e alterações.</t>
  </si>
  <si>
    <t>Tabela 5.18 - Taxa de mortalidade por homicídio específica por sexo (por 100.000 habitantes), segundo os grupos de idade  - Brasil - 2023</t>
  </si>
  <si>
    <t>Grupo de idade</t>
  </si>
  <si>
    <t>Até 4 anos</t>
  </si>
  <si>
    <t>5 a 9 anos</t>
  </si>
  <si>
    <t>10 a 14 anos</t>
  </si>
  <si>
    <t>15 a 19 anos</t>
  </si>
  <si>
    <t>20 a 24 anos</t>
  </si>
  <si>
    <t>25 a 29 anos</t>
  </si>
  <si>
    <t>30 a 39 anos</t>
  </si>
  <si>
    <t>40 a 49 anos</t>
  </si>
  <si>
    <t>50 a 59 anos</t>
  </si>
  <si>
    <t>60 a 69 anos</t>
  </si>
  <si>
    <t>70 anos ou mais</t>
  </si>
  <si>
    <t>Tabela 5.19 - Óbitos de mulheres por homicídio, total e distribuição percentual, segundo a cor ou raça  - Brasil - 2023</t>
  </si>
  <si>
    <t>Não informada</t>
  </si>
  <si>
    <t xml:space="preserve">Fonte: Ministério da Saúde, Sistema de Informações sobre Mortalidade - SIM. </t>
  </si>
  <si>
    <t>2.Os dados são preliminares, de acordo com a Portaria SVS/MS nº 116/2009, e estão sujeitos a revisões e alterações.</t>
  </si>
  <si>
    <t>Tabela 5.20 - Total e taxa padronizada de mortalidade por homicídio (por 100 mil habitantes) e variação relativa, segundo o sexo  – Brasil - 2012 e 2023</t>
  </si>
  <si>
    <t>Mortalidade por homicídio</t>
  </si>
  <si>
    <t>Taxa padronizada  de mortalidade por homicídio por ano</t>
  </si>
  <si>
    <t>Variação relativa (%)</t>
  </si>
  <si>
    <t>2012-2023</t>
  </si>
  <si>
    <t>Tabela 5.21 - Ocorrências policiais de feminicídio por ano - Brasil - 2015-2024</t>
  </si>
  <si>
    <t>Ano</t>
  </si>
  <si>
    <t>Fonte:  Ministério da Justiça e Segurança Pública, Dados Nacionais de Segurança Pública. </t>
  </si>
  <si>
    <t>Elaboração: Ministério das Mulheres. Observatório Brasil da Igualdade de Gênero.  </t>
  </si>
  <si>
    <t>Notas: 1. Dados atualizados em fevereiro de 2025.</t>
  </si>
  <si>
    <t>2. Dados  sujeitos a revisões e alterações.</t>
  </si>
  <si>
    <t>Tabela 5.22.a - Ocorrências policiais de feminicídio, total e taxa (por 100 mil mulheres), por Unidade da Federação - 2024</t>
  </si>
  <si>
    <t>Unidade da Federação</t>
  </si>
  <si>
    <t xml:space="preserve">População de Mulheres </t>
  </si>
  <si>
    <t>Taxa por 100 mil mulheres</t>
  </si>
  <si>
    <t>Acre</t>
  </si>
  <si>
    <t>Alagoas</t>
  </si>
  <si>
    <t>Amapá</t>
  </si>
  <si>
    <t>Amazonas</t>
  </si>
  <si>
    <t>Bahia</t>
  </si>
  <si>
    <t>Ceará</t>
  </si>
  <si>
    <t>Distrito Federal</t>
  </si>
  <si>
    <t>Espírito Santo</t>
  </si>
  <si>
    <t>Goiás</t>
  </si>
  <si>
    <t>Maranhão</t>
  </si>
  <si>
    <t>Mato Grosso</t>
  </si>
  <si>
    <t>Mato Grosso do Sul</t>
  </si>
  <si>
    <t>Minas Gerais</t>
  </si>
  <si>
    <t>Pará</t>
  </si>
  <si>
    <t>Paraíba</t>
  </si>
  <si>
    <t>Paraná</t>
  </si>
  <si>
    <t>Pernambuco</t>
  </si>
  <si>
    <t>Piauí</t>
  </si>
  <si>
    <t>Rio de Janeiro</t>
  </si>
  <si>
    <t>Rio Grande do Norte</t>
  </si>
  <si>
    <t>Rio Grande do Sul</t>
  </si>
  <si>
    <t>Rondônia</t>
  </si>
  <si>
    <t>Roraima</t>
  </si>
  <si>
    <t>Santa Catarina</t>
  </si>
  <si>
    <t>São Paulo</t>
  </si>
  <si>
    <t>Sergipe</t>
  </si>
  <si>
    <t>Tocantins</t>
  </si>
  <si>
    <t>Fonte:  Ministério da Justiça e Segurança Pública, Dados Nacionais de Segurança Pública. IBGE, Projeção da População (revisão de 2024).</t>
  </si>
  <si>
    <t>Tabela 5.22.b - Ocorrências policiais de feminicídio, total e taxa (por 100 mil mulheres), por Unidade da Federação - 2023</t>
  </si>
  <si>
    <t>Mato grosso</t>
  </si>
  <si>
    <t>Tabela 5.23 - Ocorrências policiais de homicídio doloso e de lesão corporal seguida de morte de mulheres - Brasil - 2015-2024</t>
  </si>
  <si>
    <t>Notas: 1.Dados atualizados em fevereiro de 2025.</t>
  </si>
  <si>
    <t>2. Dados sujeitos a revisões e alterações.</t>
  </si>
  <si>
    <t>Tabela 5.24.a - Ocorrências policiais de homicídio doloso e de lesão corporal seguida de morte de mulheres, total e taxa (por 100 mil mulheres), por Unidade da Federação - 2024</t>
  </si>
  <si>
    <t>Fonte: Ministério da Justiça e Segurança Pública, Dados Nacionais de Segurança Pública. IBGE, Projeção da População (revisão de 2024).</t>
  </si>
  <si>
    <t>2.  Dados sujeitos a revisões e alterações.</t>
  </si>
  <si>
    <t>Tabela 5.24.b - Ocorrências policiais de homicídio doloso e de lesão corporal seguida de morte de mulheres, total e taxa (por 100 mil mulheres), por Unidade da Federação - 2023</t>
  </si>
  <si>
    <t>Tabela 5.25 - Ocorrências policiais de estupros com vítimas do sexo feminino - Brasil - 2015-2024</t>
  </si>
  <si>
    <t>Fonte: Ministério da Justiça e Segurança Pública, Dados Nacionais de Segurança Pública. </t>
  </si>
  <si>
    <t>Notas: 1. A quantidade total inclui os números relativos aos estupros de vulneráveis.</t>
  </si>
  <si>
    <t>2. Dados atualizados em fevereiro de 2025.</t>
  </si>
  <si>
    <t>3. Dados sujeitos a revisões e alterações.</t>
  </si>
  <si>
    <t>Tabela 5.26.a - Ocorrências policiais de estupros com vítimas do sexo feminino, total e taxa (por 100 mil mulheres), por Unidade da Federação - 2024</t>
  </si>
  <si>
    <t xml:space="preserve">Mato Grosso </t>
  </si>
  <si>
    <t>Tabela 5.26.b - Ocorrências policiais de estupros com vítimas do sexo feminino, total e taxa (por 100 mil mulheres), por Unidade da Federação - 2023</t>
  </si>
  <si>
    <t>Tabela 5.27.a - População carcerária feminina, vagas disponíveis para mulheres no sistema penitenciário brasileiro, taxa de ocupação carcerária e estabelecimentos penais femininos, total e distribuição percentual, segundo as Grandes Regiões - junho de 2024</t>
  </si>
  <si>
    <t>Mulheres no sistema penitenciário</t>
  </si>
  <si>
    <t>Vagas disponíveis para mulheres em estabelecimentos penais</t>
  </si>
  <si>
    <t xml:space="preserve">Distribuição (%) </t>
  </si>
  <si>
    <t>Taxa de ocupação carcerária (%)</t>
  </si>
  <si>
    <t>Estabelecimentos penais exclusivamente femininos</t>
  </si>
  <si>
    <t>Fonte: Ministério da Justiça e Segurança Pública, Sistema Nacional de Informações Penais – SISDEPEN.</t>
  </si>
  <si>
    <t>Nota: População carcerária inclui somente quem é presa(o) em cela física, ou seja, presas(os) que, independentemente de saídas durante o dia, para trabalho e/ou estudo, dormem no estabelecimento prisional, ocupando vagas. Para taxa de ocupação, considera-se apenas a população em celas físicas.</t>
  </si>
  <si>
    <t>Tabela 5.27.b - População carcerária feminina, vagas disponíveis para mulheres no sistema penitenciário brasileiro, taxa de ocupação carcerária e estabelecimentos penais femininos, total e distribuição percentual, segundo as Grandes Regiões - dezembro de 2023</t>
  </si>
  <si>
    <t xml:space="preserve"> </t>
  </si>
  <si>
    <t>Nota: População carcerária inclui somente quem é presa(o) em cela física, ou seja, presas(os) que, independentemente de saídas durante o dia, para
trabalho e/ou estudo, dormem no estabelecimento prisional, ocupando vagas. Para taxa de ocupação, considera-se apenas a população em celas físicas.</t>
  </si>
  <si>
    <t>Tabela 5.28.a - População carcerária masculina, vagas disponíveis para homens no sistema penitenciário brasileiro, taxa de ocupação carcerária e estabelecimentos penais masculinos, total e distribuição percentual, segundo as Grandes Regiões - junho de 2024</t>
  </si>
  <si>
    <t>Homens no sistema penitenciário</t>
  </si>
  <si>
    <t>Vagas disponíveis para homens em estabelecimentos penais</t>
  </si>
  <si>
    <t>Estabelecimentos penais exclusivamente masculinos</t>
  </si>
  <si>
    <t xml:space="preserve">Notas: 1. População carcerária inclui somente quem é presa(o) em cela física, ou seja, presas(os) que, independentemente de saídas durante o dia, para
trabalho e/ou estudo, dormem no estabelecimento prisional, ocupando vagas. Para taxa de ocupação, considera-se apenas a população em celas físicas. </t>
  </si>
  <si>
    <t>2. Foram contabilizadas as Penitenciárias de Segurança Máxima sob responsabilidade de união.</t>
  </si>
  <si>
    <t>Tabela 5.28.b População carcerária masculina, vagas disponíveis para homens no sistema penitenciário brasileiro, taxa de ocupação carcerária e estabelecimentos penais masculinos, total e distribuição percentual, segundo as Grandes Regiões - dezembro de 2023</t>
  </si>
  <si>
    <t>Notas: 1. População carcerária inclui somente quem é presa(o) em cela física, ou seja, presas(os) que, independentemente de saídas durante o dia, para trabalho e/ou estudo, dormem no estabelecimento prisional, ocupando vagas. Para taxa de ocupação, considera-se apenas a população em celas físicas.</t>
  </si>
  <si>
    <t>Tabela 5.29.a - População carcerária, total e distribuição percentual, por sexo, segundo a cor ou raça - Brasil - junho de 2024</t>
  </si>
  <si>
    <t>Total da população</t>
  </si>
  <si>
    <t xml:space="preserve">Amarela </t>
  </si>
  <si>
    <t>Notas: 1.  População carcerária inclui somente quem é presa(o) em cela física, ou seja, presas(os) que, independentemente de saídas durante o dia, para
trabalho e/ou estudo, dormem no estabelecimento prisional, ocupando vagas. Para taxa de ocupação, considera-se apenas a população em celas físicas.</t>
  </si>
  <si>
    <t>2. O valor total da população inclui as(os) com cor ou raça não informada.</t>
  </si>
  <si>
    <t>3. A distribuição percentual foi realizada sobre a soma das(os) que tiveram a cor ou raça informada.</t>
  </si>
  <si>
    <t> </t>
  </si>
  <si>
    <t>Tabela 5.29.b -  População carcerária, total e distribuição percentual, por sexo, segundo a cor ou raça - Brasil - dezembro de 2023</t>
  </si>
  <si>
    <t>Notas: 1.  População carcerária inclui somente quem é presa(o) em cela física, ou seja, presas(os) que, independentemente de saídas durante o dia, para trabalho e/ou estudo, dormem no estabelecimento prisional, ocupando vagas. Para taxa de ocupação, considera-se apenas a população em celas físicas.</t>
  </si>
  <si>
    <t>Tabela 5.30.a - População carcerária, total e distribuição percentual por sexo, segundo a nacionalidade - Brasil - junho de 2024</t>
  </si>
  <si>
    <t xml:space="preserve">Nacionalidade </t>
  </si>
  <si>
    <t>Brasileira(o) nata(o)</t>
  </si>
  <si>
    <t>Brasileira(o) naturalizada(o)</t>
  </si>
  <si>
    <t>Estrangeira(o)</t>
  </si>
  <si>
    <t>Notas: 1. O valor total inclui as com nacionalidade não informada.</t>
  </si>
  <si>
    <t>2.  População carcerária inclui somente quem é presa(o) em cela física, ou seja, presas(os) que, independentemente de saídas durante o dia, para trabalho e/ou estudo, dormem no estabelecimento prisional, ocupando vagas. Para taxa de ocupação, considera-se apenas a população em celas físicas.</t>
  </si>
  <si>
    <t>3. A distribuição percentual foi realizada sobre a soma das que tiveram a nacionalidade informada.</t>
  </si>
  <si>
    <t>Tabela 5.30.b - População carcerária, total e distribuição percentual por sexo, segundo a nacionalidade - Brasil - dezembro de 2023</t>
  </si>
  <si>
    <t>2.  População carcerária inclui somente quem é presa(o) em cela física, ou seja, presas(os) que, independentemente de saídas durante o dia, para
trabalho e/ou estudo, dormem no estabelecimento prisional, ocupando vagas. Para taxa de ocupação, considera-se apenas a população em celas físicas.</t>
  </si>
  <si>
    <t>Tabela 5.31.a -  População prisional em cumprimento de pena, total e distribuição percentual por sexo, segundo o tipo de regime prisional - Brasil - junho de 2024</t>
  </si>
  <si>
    <t>Tipo de regime prisional</t>
  </si>
  <si>
    <t>Custodiadas(os) pela polícia e segurança pública</t>
  </si>
  <si>
    <t>Presas(os) sem condenação (provisórias(os)) no sistema penitenciário</t>
  </si>
  <si>
    <t>Regime Fechado</t>
  </si>
  <si>
    <t>Regime Semi-Aberto</t>
  </si>
  <si>
    <t>Regime Aberto</t>
  </si>
  <si>
    <t>Medida de Segurança - Internação</t>
  </si>
  <si>
    <t>Medida de Segurança - Tratamento ambulatorial</t>
  </si>
  <si>
    <t>Nota: 1. População prisional em cumprimento de pena é a soma da quantidade de Presos custodiados no Sistema Penitenciário (Presos em celas físicas, domiciliares sem monitoramento eletrônico e domiciliares com monitoramento eletrônico) e dos presos em Delegacias de Polícia e outros estabelecimentos da Segurança Pública.</t>
  </si>
  <si>
    <t>2. Nem todas as unidades prisionais prestaram informações.</t>
  </si>
  <si>
    <t>3. A distribuição percentual foi realizada sobre a soma dos informados por tipo de regime prisional.</t>
  </si>
  <si>
    <t>Tabela 5.31.b -  População prisional em cumprimento de pena, total e distribuição percentual por sexo, segundo o tipo de regime prisional - Brasil -  dezembro de 2023</t>
  </si>
  <si>
    <t>Nota:  População prisional em cumprmento de pena é a soma da quantidade de Presos custodiados no Sistema Penitenciário (Presos em celas físicas, domiciliares sem monitoramento eletrônico e domiciliares com monitoramento eletrônico) e dos presos em Delegacias de Polícia e outros estabelecimentos da Segurança Pública.</t>
  </si>
  <si>
    <t>Tabela 5.32.a - População carcerária, total e distribuição percentual por sexo, segundo os crimes tentados/consumados - Brasil - junho de 2024</t>
  </si>
  <si>
    <t>Crimes tentados/consumados</t>
  </si>
  <si>
    <t>Crimes contra a pessoa</t>
  </si>
  <si>
    <t>Crimes contra o patrimônio</t>
  </si>
  <si>
    <t>Crimes contra a dignidade sexual</t>
  </si>
  <si>
    <t>Crimes contra a paz pública e contra a fé pública</t>
  </si>
  <si>
    <t>Crimes contra a administração pública</t>
  </si>
  <si>
    <t>Crimes de Trânsito</t>
  </si>
  <si>
    <t>Drogas</t>
  </si>
  <si>
    <t>Estatuto do Desarmamento</t>
  </si>
  <si>
    <t>Outros crimes relativos a legislações específicas</t>
  </si>
  <si>
    <t>Notas: 1. Esta tabela contabiliza apenas a população carcerária cujo crime tentado/consumado foi informado, ou seja, presos provisórios não são contabilizados. O número total de crimes pode ser maior que a população, pois 1 preso pode ter sido condenado a mais de 1 crime.</t>
  </si>
  <si>
    <t>2.população carcerária inclui somente quem é presa(o) em cela física, ou seja, presas(os) que, independentemente de saídas durante o dia, para
trabalho e/ou estudo, dormem no estabelecimento prisional, ocupando vagas. Para taxa de ocupação, considera-se apenas a população em celas físicas.</t>
  </si>
  <si>
    <t>3. O valor total inclui as(os) com crime tentado/consumado não informado.</t>
  </si>
  <si>
    <t>4. A distribuição percentual foi realizada sobre a soma das(os) que tiveram crime tentado/consumado  informado.</t>
  </si>
  <si>
    <t>5.32.b - População carcerária, total e distribuição percentual por sexo, segundo os crimes tentados/consumados - Brasil - dezembro de 2023</t>
  </si>
  <si>
    <t>Crimes praticados por particular contra a administração pública</t>
  </si>
  <si>
    <t>2. População carcerária inclui somente quem é presa(o) em cela física, ou seja, presas(os) que, independentemente de saídas durante o dia, para trabalho e/ou estudo, dormem no estabelecimento prisional, ocupando vagas. Para taxa de ocupação, considera-se apenas a população em celas físicas.</t>
  </si>
  <si>
    <t>Tabela 5.33.a - População carcerária feminina, total e distribuição percentual, segundo a faixa etária - Brasil - junho de 2024</t>
  </si>
  <si>
    <t>Faixa Etária</t>
  </si>
  <si>
    <t>18 a 24 anos</t>
  </si>
  <si>
    <t>30 a 34 anos</t>
  </si>
  <si>
    <t>35 a 45 anos</t>
  </si>
  <si>
    <t xml:space="preserve">46 a 60 anos </t>
  </si>
  <si>
    <t xml:space="preserve">61 a 70 anos </t>
  </si>
  <si>
    <t xml:space="preserve">Mais de 70 anos </t>
  </si>
  <si>
    <t>Notas: 1. O valor total inclui as com faixa etária não informada.</t>
  </si>
  <si>
    <t>2. População carcerária feminina inclui somente quem é presa em cela física, ou seja, presas que, independentemente de saídas durante o dia, para
trabalho e/ou estudo, dormem no estabelecimento prisional, ocupando vagas.</t>
  </si>
  <si>
    <t>3. A distribuição percentual foi realizada sobre a soma das que tiveram a faixa etária informada.</t>
  </si>
  <si>
    <t>Tabela 5.33.b - População carcerária feminina, total e distribuição percentual, segundo a faixa etária - Brasil - dezembro de 2023</t>
  </si>
  <si>
    <t>2. População carcerária feminina inclui somente quem é presa em cela física, ou seja, presas que, independentemente de saídas durante o dia, para trabalho e/ou estudo, dormem no estabelecimento prisional, ocupando vagas.</t>
  </si>
  <si>
    <t>Tabela 5.34.a - População carcerária feminina, total e distribuição percentual, segundo a escolaridade - Brasil - junho de 2024</t>
  </si>
  <si>
    <t>Escolaridade</t>
  </si>
  <si>
    <t xml:space="preserve">Analfabeta </t>
  </si>
  <si>
    <t>Alfabetizada sem cursos regulares</t>
  </si>
  <si>
    <t>Ensino Fundamental incompleto</t>
  </si>
  <si>
    <t>Ensino Fundamental completo</t>
  </si>
  <si>
    <t>Ensino Médio incompleto</t>
  </si>
  <si>
    <t>Ensino Médio completo</t>
  </si>
  <si>
    <t>Ensino Superior incompleto</t>
  </si>
  <si>
    <t>Ensino Superior completo</t>
  </si>
  <si>
    <t>Acima de Superior completo</t>
  </si>
  <si>
    <t>Notas: 1. O valor total inclui as com escolaridade não informada.</t>
  </si>
  <si>
    <t>3. A distribuição percentual foi realizada sobre a soma das que tiveram a escolaridade informada.</t>
  </si>
  <si>
    <t>Tabela 5.34.b - População carcerária feminina, total e distribuição percentual, segundo a escolaridade - Brasil - dezembro de 2023</t>
  </si>
  <si>
    <t>Tabela 5.35.a - População carcerária feminina, total e proporção, segundo as atividades educacionais em que estão envolvidas - Brasil - junho de 2024</t>
  </si>
  <si>
    <t>Atividades Educacionais</t>
  </si>
  <si>
    <r>
      <rPr>
        <sz val="12"/>
        <color rgb="FF000000"/>
        <rFont val="Verdana"/>
      </rPr>
      <t>Proporção em relação à população total de mulheres encarceradas</t>
    </r>
    <r>
      <rPr>
        <sz val="12"/>
        <color rgb="FFFF0000"/>
        <rFont val="Verdana"/>
      </rPr>
      <t xml:space="preserve"> </t>
    </r>
    <r>
      <rPr>
        <sz val="12"/>
        <color rgb="FF000000"/>
        <rFont val="Verdana"/>
      </rPr>
      <t>(%)</t>
    </r>
  </si>
  <si>
    <t>Total da população feminina</t>
  </si>
  <si>
    <t>Ensino escolar</t>
  </si>
  <si>
    <t>Ensino Superior e curso técnico (acima de 800 horas aula)</t>
  </si>
  <si>
    <t>Curso de formação inicial e continuada (Capacitação profissional, acima de 160 horas de aula)</t>
  </si>
  <si>
    <t>Programas de remição pelo estudo, através da leitura e do esporte</t>
  </si>
  <si>
    <t>Notas: 1. Ensino escolar corresponde às pessoas em Alfabetização, no ensino fundamental e no ensino médio.</t>
  </si>
  <si>
    <t>3. Os itens "Curso de formação inicial e continuada" e "Remição pelo estudo" são contabilizados por número de atividades, ou seja, 1 preso pode ter participado de diversos programas.</t>
  </si>
  <si>
    <t>Tabela 5.35.b - População carcerária feminina, total e proporção, segundo as atividades educacionais em que estão envolvidas - Brasil - dezembro de 2023</t>
  </si>
  <si>
    <t>Proporção em relação à população total de mulheres encarceradas (%)</t>
  </si>
  <si>
    <t>Tabela 5.36.a - População carcerária feminina, total e proporção em atividade laboral - Brasil - junho de 2024</t>
  </si>
  <si>
    <t>Total da população carcerária feminina</t>
  </si>
  <si>
    <t>Total em atividade laboral</t>
  </si>
  <si>
    <t>Proporção em atividade laboral (%)</t>
  </si>
  <si>
    <t>Nota:População carcerária feminina inclui somente quem é presa em cela física, ou seja, presas que, independentemente de saídas durante o dia, para trabalho e/ou estudo, dormem no estabelecimento prisional, ocupando vagas.</t>
  </si>
  <si>
    <t>Tabela 5.36.b - População carcerária feminina, total e proporção em atividade laboral - Brasil - dezembro de 2023</t>
  </si>
  <si>
    <t xml:space="preserve">Nota:População carcerária feminina inclui somente quem é presa em cela física, ou seja, presas que, independentemente de saídas durante o dia, para
trabalho e/ou estudo, dormem no estabelecimento prisional, ocupando vagas.		</t>
  </si>
  <si>
    <t>Tabela 5.37.a - Taxa de encarceramento por 100 mil habitantes, por sexo, segundo a cor ou raça - Brasil - junho de 2024</t>
  </si>
  <si>
    <t>Taxa de encarceramento por 100 mil habitantes</t>
  </si>
  <si>
    <t>Não Informado</t>
  </si>
  <si>
    <t>Fonte: Ministério da Justiça e Segurança Pública, Sistema Nacional de Informações Penais – SISDEPEN. IBGE, Projeção da População.</t>
  </si>
  <si>
    <t>Nota: População carcerária inclui somente quem é presa(o) em cela física, ou seja, presas(os) que, independentemente de saídas durante o dia, para
trabalho e/ou estudo, dormem no estabelecimento prisional, ocupando vagas.</t>
  </si>
  <si>
    <t>Tabela 5.37.b - Taxa de encarceramento por 100 mil habitantes, por sexo, segundo a cor ou raça - Brasil - dezembro de 2023</t>
  </si>
  <si>
    <t>Nota:  População carcerária inclui somente quem é presa(o) em cela física, ou seja, presas(os) que, independentemente de saídas durante o dia, para
 trabalho e/ou estudo, dormem no estabelecimento prisional, ocupando vagas.</t>
  </si>
  <si>
    <t>Tabela 5.38.a - Taxa de encarceramento de mulheres (por 100 mil), segundo a faixa etária - Brasil - junho de 2024</t>
  </si>
  <si>
    <t>Taxa de encarceramento por 100 mil mulheres</t>
  </si>
  <si>
    <t>Nota: População carcerária feminina inclui somente quem é presa em cela física, ou seja, presas que, independentemente de saídas durante o dia, para trabalho e/ou estudo, dormem no estabelecimento prisional, ocupando vagas.</t>
  </si>
  <si>
    <t>Tabela 5.38.b - Taxa de encarceramento de mulheres (por 100 mil), segundo a faixa etária - Brasil - dezembro de 2023</t>
  </si>
  <si>
    <t>Tabela 5.39.a - Taxa de encarceramento de mulheres (por 100 mil), segundo a escolaridade - Brasil - junho de 2024</t>
  </si>
  <si>
    <t>Tabela 5.39.b - Taxa de encarceramento de mulheres (por 100 mil), segundo a escolaridade - Brasil - dezembro de 2023</t>
  </si>
  <si>
    <t>Tabela 5.40.a -  Mulheres gestantes e lactantes em estabelecimentos prisionais, estabelecimentos que possuem celas ou dormitórios adequados para gestantes, filhos que estão com suas mães em estabelecimentos prisionais femininos, estabelecimentos que possuem berçários ou creches e  capacidade dos berçarios ou creches, total e proporção, segundo as Grandes Regiões - junho de 2024</t>
  </si>
  <si>
    <t>Mulheres gestantes e lactantes em estabelecimentos prisionais</t>
  </si>
  <si>
    <t>Estabelecimentos que possuem celas ou dormitórios adequados para gestantes</t>
  </si>
  <si>
    <t>Filhos que estão com suas mães em estabelecimentos prisionais</t>
  </si>
  <si>
    <t>Estabelecimentos que possuem berçarios ou creches</t>
  </si>
  <si>
    <t>Capacidade dos berçarios ou creches</t>
  </si>
  <si>
    <t>Proporção em relação às mulheres privadas de liberdade (%)</t>
  </si>
  <si>
    <t>Proporção em relação ao total de estabelecimentos prisionais femininos  (%)</t>
  </si>
  <si>
    <t>Proporção  em relação ao total de estabelecimentos prisionais femininos  (%)</t>
  </si>
  <si>
    <t xml:space="preserve">Proporção ao número de filhos que estão com mães em estabelecimentos prisionais(%) </t>
  </si>
  <si>
    <t>Notas: 1.População carcerária feminina inclui somente quem é presa em cela física, ou seja, presas que, independentemente de saídas durante o dia, para trabalho e/ou estudo, dormem no estabelecimento prisional, ocupando vagas.</t>
  </si>
  <si>
    <t>2. Na Capacidade dos berçários ou creches foram somados os valores das capacidades.</t>
  </si>
  <si>
    <t>Tabela 5.40.b -  Mulheres gestantes e lactantes em estabelecimentos prisionais, estabelecimentos que possuem celas ou dormitórios adequados para gestantes, filhos que estão com suas mães em estabelecimentos prisionais femininos, estabelecimentos que possuem berçários ou creches e  capacidade dos berçarios ou creches, total e proporção, segundo as Grandes Regiões - dezembro de 2023</t>
  </si>
  <si>
    <t>Proporção em relação às mulheres encarceradas (%)</t>
  </si>
  <si>
    <t>Tabela 5.41.a - População carcerária, total e distribuição percentual, por sexo, segundo o tempo de pena total - Brasil - junho de 2024</t>
  </si>
  <si>
    <t>Tempo de pena total</t>
  </si>
  <si>
    <t>Até 6 meses</t>
  </si>
  <si>
    <t>6 meses a 1 ano</t>
  </si>
  <si>
    <t>1 a 2 anos</t>
  </si>
  <si>
    <t>2 a 4 anos</t>
  </si>
  <si>
    <t>4 a 8 anos</t>
  </si>
  <si>
    <t>8 a 15 anos</t>
  </si>
  <si>
    <t>15 a 20 anos</t>
  </si>
  <si>
    <t>20 a 30 anos</t>
  </si>
  <si>
    <t>30 a 50 anos</t>
  </si>
  <si>
    <t>50 a 100 anos</t>
  </si>
  <si>
    <t>Mais de 100 anos</t>
  </si>
  <si>
    <t>Notas: 1. O valor total inclui as(os) com tempo de pena total não informado.</t>
  </si>
  <si>
    <t>3. A distribuição percentual foi realizada sobre a soma das(os) que tiveram o tempo de pena total informado.</t>
  </si>
  <si>
    <t xml:space="preserve"> Tabela 5.41.b - População carcerária, total e distribuição percentual, por sexo, segundo o tempo de pena total - Brasil - dezembro de 2023</t>
  </si>
  <si>
    <t>Tabela 5.42.a - Óbitos no sistema penitenciário, total e proporção, por sexo, segundo as causas - Brasil - junho de 2024</t>
  </si>
  <si>
    <t>Causas do óbito</t>
  </si>
  <si>
    <t>Causas naturais /Motivos de saúde</t>
  </si>
  <si>
    <t>Causas criminais</t>
  </si>
  <si>
    <t>Suicídios</t>
  </si>
  <si>
    <t>Causas acidentais</t>
  </si>
  <si>
    <t>Causa desconhecida</t>
  </si>
  <si>
    <t>Nota: Percentual de óbitos no total de pessoas encarceradas (apenas celas físicas).</t>
  </si>
  <si>
    <t>Tabela 5.42.b - Óbitos no sistema penitenciário, total e proporção, por sexo, segundo as causas - Brasil - dezembro de 2023</t>
  </si>
  <si>
    <t>Tabela 5.43 - Denúncias de transfobia, total e distribuição percentual - Brasil - 2023</t>
  </si>
  <si>
    <t>Total de denúncias</t>
  </si>
  <si>
    <t>Mulher transexual</t>
  </si>
  <si>
    <t>Homem transexual</t>
  </si>
  <si>
    <t>Não informado</t>
  </si>
  <si>
    <t>Fonte:Ministério dos Direitos Humanos e da Cidadania, Disque 100.</t>
  </si>
  <si>
    <t>Tabela 5.44 - Denúncias de lesbofobia, total e distribuição percentual, segundo o tipo de violência - Brasil - 2023</t>
  </si>
  <si>
    <t>Abuso financeiro e econômico/violência patrimonial</t>
  </si>
  <si>
    <t>Discriminação</t>
  </si>
  <si>
    <t>Negligência</t>
  </si>
  <si>
    <t>Outras violações/outros assuntos relacionados a direitos humanos</t>
  </si>
  <si>
    <t>Tortura e outros tratamentos ou penas  cruéis, desumanos ou degradantes</t>
  </si>
  <si>
    <t>Violência física</t>
  </si>
  <si>
    <t>Violência institucional</t>
  </si>
  <si>
    <t>Violência psicológica</t>
  </si>
  <si>
    <t>Violência sexual</t>
  </si>
  <si>
    <t>Tabela 5.45 - Vítimas de violência institucional, total e distribuição percentual, por sexo, segundo o segmento - Brasil - 2023</t>
  </si>
  <si>
    <t>Segmento</t>
  </si>
  <si>
    <t>Sexo não informado</t>
  </si>
  <si>
    <t>Criança e adolescente</t>
  </si>
  <si>
    <t>LGBT</t>
  </si>
  <si>
    <t>Pessoa idosa</t>
  </si>
  <si>
    <t>Pessoa com deficiência</t>
  </si>
  <si>
    <t>Pessoa em restrição de liberdade</t>
  </si>
  <si>
    <t>População em situação de rua</t>
  </si>
  <si>
    <t>Outro</t>
  </si>
  <si>
    <t>Tabela 5.46 - Violações relatadas contra a mulher, total e distribuição percentual, por tipo de violação de direitos - Brasil - 1° semestre de 2024</t>
  </si>
  <si>
    <t>Tipo de violação de direitos</t>
  </si>
  <si>
    <t>Violência moral</t>
  </si>
  <si>
    <t>Violência patrimonial</t>
  </si>
  <si>
    <t>Cárcere privado</t>
  </si>
  <si>
    <t>Tráfico de pessoas</t>
  </si>
  <si>
    <t>Fonte: Ministério das Mulheres, Ligue 180.</t>
  </si>
  <si>
    <t>Notas: 1. Uma mesma pessoa pode relatar mais de um tipo de violação.</t>
  </si>
  <si>
    <t>2. Violações relatadas são "Qualquer fato que atente ou viole os direitos humanos de uma vítima".</t>
  </si>
  <si>
    <t>Tabela 5.47 - Mulheres em situação de violência,  total e distribuição percentual, segundo a relação do(a) agressor(a) com a vítima - Brasil - 1° semestre de 2024</t>
  </si>
  <si>
    <t>Relação agressor-vítima</t>
  </si>
  <si>
    <t>Relação do(a) agressor(a) com a vítima</t>
  </si>
  <si>
    <t>Companheiro(a)</t>
  </si>
  <si>
    <t>Ex- companheiro(a)</t>
  </si>
  <si>
    <t>Familiares</t>
  </si>
  <si>
    <t>Pessoas do convívio interpessoal</t>
  </si>
  <si>
    <t>Pessoas do convívio de trabalho</t>
  </si>
  <si>
    <t>Pessoas desconhecidas</t>
  </si>
  <si>
    <t>Nota: Mulheres em situação de violência que buscaram a Central de atendimento do Ligue 180.</t>
  </si>
  <si>
    <t>Tabela 5.48 - Mulheres em situação de violência, total e distribuição percentual, segundo a cor ou raça - Brasil - 1° semestre de 2024</t>
  </si>
  <si>
    <t>Tabela 5.49 - Mulheres em situação de violência, total e distribuição percentual, segundo os grupos de idade - Brasil - 1° semestre de 2024</t>
  </si>
  <si>
    <t>Grupos de idade</t>
  </si>
  <si>
    <t>25 a 39 anos</t>
  </si>
  <si>
    <t>40 a 59 anos</t>
  </si>
  <si>
    <t>Tabela 5.50 -  Mulheres em situação de violência, total e distribuição percentual, segundo a escolaridade - Brasi - 1° semestre de 2024</t>
  </si>
  <si>
    <t>Analfabeta</t>
  </si>
  <si>
    <t>Ensino fundamental incompleto</t>
  </si>
  <si>
    <t>Ensino fundamental completo</t>
  </si>
  <si>
    <t>Ensino médio incompleto</t>
  </si>
  <si>
    <t>Ensino médio completo</t>
  </si>
  <si>
    <t>Nível técnico</t>
  </si>
  <si>
    <t>Ensino superior incompleto</t>
  </si>
  <si>
    <t>Ensino superior completo</t>
  </si>
  <si>
    <t>Pós-graduação</t>
  </si>
  <si>
    <t>Tabela 5.51 - Mulheres em situação de violência, total e distribuição percentual, segundo as Grandes Regiões - 1° semestre de 2024</t>
  </si>
  <si>
    <t xml:space="preserve">Norte </t>
  </si>
  <si>
    <t>Tabela 5.52 - Relatos de violência, total e distribuição percentual, segundo as Grandes Regiões - 1° semestre de 2024</t>
  </si>
  <si>
    <t>Nota: Relatos de violência se referem aos relatos que constam no protocolo de denúncia. Um protocolo de denúncia pode conter uma ou mais denúncias.</t>
  </si>
  <si>
    <t>Tabela 5.53 - Relatos de violência psicológica contra a mulher, total e distribuição percentual, segundo o tipo de violência psicológica - Brasil - 1° semestre de 2024</t>
  </si>
  <si>
    <t>Tipo de violência psicológica</t>
  </si>
  <si>
    <t>Ameaça</t>
  </si>
  <si>
    <t>Assédio moral (trabalho)</t>
  </si>
  <si>
    <t>Dano emocional/diminuição da autoestima</t>
  </si>
  <si>
    <t>Perseguição</t>
  </si>
  <si>
    <t>Tabela 5.54 - Relatos de violência sexual contra a mulher, total e distribuição percentual, segundo o tipo de violência sexual - Brasil - 1° semestre de 2024</t>
  </si>
  <si>
    <t>Tipo de violência sexual</t>
  </si>
  <si>
    <t>Estupro</t>
  </si>
  <si>
    <t>Exploração sexual</t>
  </si>
  <si>
    <t>Assédio sexual (trabalho)</t>
  </si>
  <si>
    <t>Outros tipos</t>
  </si>
  <si>
    <t>Tabela 5.55 - Relatos de violência moral contra a mulher, total e distribuição percentual, segundo o tipo de violência moral - Brasil - 1° semestre de 2024</t>
  </si>
  <si>
    <t>Tipo de violência moral</t>
  </si>
  <si>
    <t>Calúnia</t>
  </si>
  <si>
    <t>Difamação</t>
  </si>
  <si>
    <t>Injúria</t>
  </si>
  <si>
    <t>Tabela 5.56 -  Serviços especializados de atendimento a mulheres em situação de violência, por Grandes Regiões, segundo os tipos de serviço - 2024</t>
  </si>
  <si>
    <t>Tipo de serviço</t>
  </si>
  <si>
    <t>Casas Abrigo e Casa de Acolhimento Provisório (Casas-de-Passagem)</t>
  </si>
  <si>
    <t xml:space="preserve">Casas da Mulher Brasileira
</t>
  </si>
  <si>
    <t>Centros de Referência (ou de Atendimento) à Mulher em situação de violência / Núcleos de Atendimento à Mulher em situação de violência (Centros Integrados da Mulher)</t>
  </si>
  <si>
    <t>Delegacias Especializadas de Atendimento à Mulher e Postos ou Seções da Polícia de Atendimento à Mulher</t>
  </si>
  <si>
    <t>Juizados e Varas Especializadas de Violência Doméstica e Familiar contra a Mulher</t>
  </si>
  <si>
    <t>Núcleos de Defesa da Mulher nas Defensorias Públicas</t>
  </si>
  <si>
    <t>Patrulha Maria da Penha</t>
  </si>
  <si>
    <t>Promotorias Especializadas e Núcleos de Gênero nos Ministérios Públicos</t>
  </si>
  <si>
    <t>Serviços de Saúde a Pessoas em situação de violência sexual</t>
  </si>
  <si>
    <t>Fonte: Ministério das Mulheres, Secretaria Nacional de Enfrentamento à Violência contra Mulheres (SENEV).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</si>
</sst>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_-* #,##0.0_-;\-* #,##0.0_-;_-* &quot;-&quot;??_-;_-@_-"/>
    <numFmt numFmtId="167" formatCode="#,##0.0"/>
  </numFmts>
  <fonts count="3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rgb="FF000000"/>
      <name val="Verdana"/>
      <family val="2"/>
    </font>
    <font>
      <b/>
      <sz val="12"/>
      <name val="Verdana"/>
      <family val="2"/>
    </font>
    <font>
      <sz val="12"/>
      <name val="Verdana"/>
      <family val="2"/>
    </font>
    <font>
      <sz val="12"/>
      <color rgb="FF000000"/>
      <name val="Verdana"/>
      <family val="2"/>
    </font>
    <font>
      <sz val="10"/>
      <color rgb="FF00000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10"/>
      <color rgb="FFFF0000"/>
      <name val="Verdana"/>
      <family val="2"/>
    </font>
    <font>
      <b/>
      <sz val="10"/>
      <color rgb="FF000000"/>
      <name val="Verdana"/>
      <family val="2"/>
    </font>
    <font>
      <sz val="10"/>
      <color theme="1"/>
      <name val="Verdana"/>
      <family val="2"/>
    </font>
    <font>
      <sz val="12"/>
      <color theme="1"/>
      <name val="Verdana"/>
    </font>
    <font>
      <b/>
      <sz val="12"/>
      <color theme="1"/>
      <name val="Verdana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Aptos Narrow"/>
      <family val="2"/>
      <scheme val="minor"/>
    </font>
    <font>
      <sz val="12"/>
      <color rgb="FF000000"/>
      <name val="Verdana"/>
    </font>
    <font>
      <sz val="12"/>
      <color theme="1"/>
      <name val="Arial"/>
      <family val="2"/>
    </font>
    <font>
      <b/>
      <sz val="12"/>
      <color rgb="FF000000"/>
      <name val="Verdana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10"/>
      <color rgb="FF000000"/>
      <name val="Verdana"/>
    </font>
    <font>
      <b/>
      <sz val="10"/>
      <color rgb="FF000000"/>
      <name val="Verdana"/>
    </font>
    <font>
      <sz val="11"/>
      <color rgb="FFFF0000"/>
      <name val="Aptos Narrow"/>
      <family val="2"/>
      <scheme val="minor"/>
    </font>
    <font>
      <sz val="11"/>
      <color theme="1"/>
      <name val="Verdana"/>
    </font>
    <font>
      <b/>
      <sz val="11"/>
      <color theme="1"/>
      <name val="Verdana"/>
    </font>
    <font>
      <sz val="10"/>
      <color theme="1"/>
      <name val="Verdana"/>
    </font>
    <font>
      <b/>
      <sz val="12"/>
      <name val="Verdana"/>
    </font>
    <font>
      <sz val="12"/>
      <name val="Verdana"/>
    </font>
    <font>
      <sz val="11"/>
      <color rgb="FF000000"/>
      <name val="Verdana"/>
    </font>
    <font>
      <sz val="11"/>
      <color rgb="FF000000"/>
      <name val="Calibri"/>
    </font>
    <font>
      <sz val="11"/>
      <color rgb="FF000000"/>
      <name val="Aptos Narrow"/>
    </font>
    <font>
      <sz val="10"/>
      <color rgb="FF000000"/>
      <name val="Verdana"/>
      <charset val="1"/>
    </font>
    <font>
      <sz val="11"/>
      <color rgb="FFFF0000"/>
      <name val="Aptos Narrow"/>
      <family val="2"/>
    </font>
    <font>
      <sz val="11"/>
      <color rgb="FF000000"/>
      <name val="Aptos Narrow"/>
      <family val="2"/>
    </font>
    <font>
      <sz val="10"/>
      <name val="Arial"/>
      <family val="2"/>
    </font>
    <font>
      <sz val="10"/>
      <name val="Verdana"/>
    </font>
    <font>
      <sz val="12"/>
      <color rgb="FFFF0000"/>
      <name val="Verdana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6" fillId="0" borderId="0"/>
  </cellStyleXfs>
  <cellXfs count="49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3" fontId="5" fillId="0" borderId="1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0" fontId="12" fillId="0" borderId="0" xfId="0" applyFont="1" applyAlignment="1">
      <alignment horizontal="center"/>
    </xf>
    <xf numFmtId="0" fontId="12" fillId="0" borderId="3" xfId="0" applyFont="1" applyBorder="1" applyAlignment="1">
      <alignment horizontal="center"/>
    </xf>
    <xf numFmtId="3" fontId="12" fillId="0" borderId="3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/>
    </xf>
    <xf numFmtId="3" fontId="14" fillId="0" borderId="1" xfId="0" applyNumberFormat="1" applyFont="1" applyBorder="1" applyAlignment="1">
      <alignment horizontal="center"/>
    </xf>
    <xf numFmtId="164" fontId="14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3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3" fontId="15" fillId="0" borderId="1" xfId="0" applyNumberFormat="1" applyFont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0" fontId="6" fillId="0" borderId="0" xfId="0" applyFont="1"/>
    <xf numFmtId="0" fontId="15" fillId="0" borderId="0" xfId="0" applyFont="1"/>
    <xf numFmtId="0" fontId="11" fillId="0" borderId="0" xfId="0" applyFont="1"/>
    <xf numFmtId="3" fontId="15" fillId="0" borderId="0" xfId="0" applyNumberFormat="1" applyFont="1"/>
    <xf numFmtId="0" fontId="15" fillId="0" borderId="3" xfId="0" applyFont="1" applyBorder="1" applyAlignment="1">
      <alignment horizontal="center"/>
    </xf>
    <xf numFmtId="0" fontId="14" fillId="0" borderId="3" xfId="0" applyFont="1" applyBorder="1"/>
    <xf numFmtId="164" fontId="14" fillId="0" borderId="3" xfId="0" applyNumberFormat="1" applyFont="1" applyBorder="1"/>
    <xf numFmtId="0" fontId="15" fillId="0" borderId="3" xfId="0" applyFont="1" applyBorder="1"/>
    <xf numFmtId="165" fontId="15" fillId="0" borderId="3" xfId="1" applyNumberFormat="1" applyFont="1" applyBorder="1"/>
    <xf numFmtId="164" fontId="15" fillId="0" borderId="3" xfId="0" applyNumberFormat="1" applyFont="1" applyBorder="1"/>
    <xf numFmtId="164" fontId="15" fillId="0" borderId="3" xfId="0" applyNumberFormat="1" applyFont="1" applyBorder="1" applyAlignment="1">
      <alignment horizontal="right"/>
    </xf>
    <xf numFmtId="165" fontId="15" fillId="0" borderId="1" xfId="1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165" fontId="14" fillId="0" borderId="1" xfId="1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165" fontId="14" fillId="0" borderId="1" xfId="1" applyNumberFormat="1" applyFont="1" applyBorder="1" applyAlignment="1">
      <alignment horizontal="right" vertical="center"/>
    </xf>
    <xf numFmtId="164" fontId="14" fillId="0" borderId="1" xfId="0" applyNumberFormat="1" applyFont="1" applyBorder="1" applyAlignment="1">
      <alignment horizontal="right" vertical="center"/>
    </xf>
    <xf numFmtId="0" fontId="5" fillId="0" borderId="5" xfId="0" applyFont="1" applyBorder="1"/>
    <xf numFmtId="165" fontId="5" fillId="0" borderId="6" xfId="1" applyNumberFormat="1" applyFont="1" applyBorder="1"/>
    <xf numFmtId="164" fontId="5" fillId="0" borderId="6" xfId="0" applyNumberFormat="1" applyFont="1" applyBorder="1"/>
    <xf numFmtId="164" fontId="14" fillId="0" borderId="1" xfId="0" applyNumberFormat="1" applyFont="1" applyBorder="1"/>
    <xf numFmtId="164" fontId="15" fillId="0" borderId="1" xfId="0" applyNumberFormat="1" applyFont="1" applyBorder="1"/>
    <xf numFmtId="165" fontId="15" fillId="0" borderId="1" xfId="1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right" vertical="center"/>
    </xf>
    <xf numFmtId="3" fontId="14" fillId="0" borderId="1" xfId="0" applyNumberFormat="1" applyFont="1" applyBorder="1" applyAlignment="1">
      <alignment horizontal="right" vertical="center"/>
    </xf>
    <xf numFmtId="0" fontId="15" fillId="0" borderId="3" xfId="0" applyFont="1" applyBorder="1" applyAlignment="1">
      <alignment horizontal="right"/>
    </xf>
    <xf numFmtId="0" fontId="11" fillId="0" borderId="8" xfId="0" applyFont="1" applyBorder="1"/>
    <xf numFmtId="0" fontId="15" fillId="0" borderId="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14" fillId="0" borderId="11" xfId="0" applyFont="1" applyBorder="1" applyAlignment="1">
      <alignment horizontal="left" vertical="center"/>
    </xf>
    <xf numFmtId="165" fontId="15" fillId="0" borderId="1" xfId="1" applyNumberFormat="1" applyFont="1" applyBorder="1"/>
    <xf numFmtId="166" fontId="15" fillId="0" borderId="1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center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5" fontId="4" fillId="0" borderId="3" xfId="1" applyNumberFormat="1" applyFont="1" applyBorder="1"/>
    <xf numFmtId="164" fontId="4" fillId="0" borderId="13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4" fillId="0" borderId="1" xfId="0" applyFont="1" applyBorder="1"/>
    <xf numFmtId="0" fontId="15" fillId="0" borderId="1" xfId="0" applyFont="1" applyBorder="1"/>
    <xf numFmtId="0" fontId="16" fillId="0" borderId="0" xfId="0" applyFont="1"/>
    <xf numFmtId="0" fontId="15" fillId="0" borderId="3" xfId="0" applyFont="1" applyBorder="1" applyAlignment="1">
      <alignment horizontal="left" vertical="center"/>
    </xf>
    <xf numFmtId="0" fontId="15" fillId="0" borderId="3" xfId="0" applyFont="1" applyBorder="1" applyAlignment="1">
      <alignment horizontal="right" vertical="center" wrapText="1"/>
    </xf>
    <xf numFmtId="0" fontId="18" fillId="0" borderId="7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4" fillId="0" borderId="12" xfId="0" applyFont="1" applyBorder="1"/>
    <xf numFmtId="3" fontId="2" fillId="0" borderId="3" xfId="0" applyNumberFormat="1" applyFont="1" applyBorder="1" applyAlignment="1">
      <alignment horizontal="center"/>
    </xf>
    <xf numFmtId="167" fontId="14" fillId="0" borderId="3" xfId="0" applyNumberFormat="1" applyFont="1" applyBorder="1" applyAlignment="1">
      <alignment horizontal="center"/>
    </xf>
    <xf numFmtId="0" fontId="15" fillId="0" borderId="12" xfId="0" applyFont="1" applyBorder="1"/>
    <xf numFmtId="0" fontId="5" fillId="0" borderId="3" xfId="0" applyFont="1" applyBorder="1" applyAlignment="1">
      <alignment horizontal="center"/>
    </xf>
    <xf numFmtId="167" fontId="15" fillId="0" borderId="3" xfId="0" applyNumberFormat="1" applyFont="1" applyBorder="1" applyAlignment="1">
      <alignment horizontal="center"/>
    </xf>
    <xf numFmtId="167" fontId="15" fillId="0" borderId="5" xfId="0" applyNumberFormat="1" applyFont="1" applyBorder="1" applyAlignment="1">
      <alignment horizontal="center"/>
    </xf>
    <xf numFmtId="167" fontId="15" fillId="0" borderId="1" xfId="0" applyNumberFormat="1" applyFont="1" applyBorder="1" applyAlignment="1">
      <alignment horizontal="center"/>
    </xf>
    <xf numFmtId="167" fontId="14" fillId="0" borderId="1" xfId="0" applyNumberFormat="1" applyFont="1" applyBorder="1" applyAlignment="1">
      <alignment horizontal="center"/>
    </xf>
    <xf numFmtId="3" fontId="15" fillId="0" borderId="3" xfId="0" applyNumberFormat="1" applyFont="1" applyBorder="1" applyAlignment="1">
      <alignment horizontal="center"/>
    </xf>
    <xf numFmtId="0" fontId="20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1" fillId="0" borderId="0" xfId="0" applyFont="1"/>
    <xf numFmtId="0" fontId="5" fillId="0" borderId="1" xfId="0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center" vertical="center"/>
    </xf>
    <xf numFmtId="3" fontId="11" fillId="0" borderId="0" xfId="0" applyNumberFormat="1" applyFont="1"/>
    <xf numFmtId="164" fontId="5" fillId="0" borderId="1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5" fillId="0" borderId="0" xfId="0" applyFont="1"/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164" fontId="19" fillId="0" borderId="1" xfId="0" applyNumberFormat="1" applyFont="1" applyBorder="1" applyAlignment="1">
      <alignment horizontal="center" vertical="center"/>
    </xf>
    <xf numFmtId="0" fontId="26" fillId="0" borderId="0" xfId="0" applyFont="1"/>
    <xf numFmtId="0" fontId="17" fillId="0" borderId="1" xfId="0" applyFont="1" applyBorder="1" applyAlignment="1">
      <alignment horizontal="left" vertical="center"/>
    </xf>
    <xf numFmtId="0" fontId="17" fillId="0" borderId="5" xfId="0" applyFont="1" applyBorder="1" applyAlignment="1">
      <alignment horizontal="center"/>
    </xf>
    <xf numFmtId="0" fontId="22" fillId="0" borderId="0" xfId="0" applyFont="1"/>
    <xf numFmtId="0" fontId="27" fillId="0" borderId="0" xfId="0" applyFont="1"/>
    <xf numFmtId="3" fontId="27" fillId="0" borderId="0" xfId="0" applyNumberFormat="1" applyFont="1"/>
    <xf numFmtId="164" fontId="17" fillId="0" borderId="1" xfId="0" applyNumberFormat="1" applyFont="1" applyBorder="1" applyAlignment="1">
      <alignment horizontal="center"/>
    </xf>
    <xf numFmtId="164" fontId="17" fillId="0" borderId="1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3" fontId="17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0" fontId="17" fillId="0" borderId="3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3" fontId="19" fillId="0" borderId="12" xfId="0" applyNumberFormat="1" applyFont="1" applyBorder="1" applyAlignment="1">
      <alignment horizontal="center" vertical="center"/>
    </xf>
    <xf numFmtId="3" fontId="19" fillId="0" borderId="3" xfId="0" applyNumberFormat="1" applyFont="1" applyBorder="1" applyAlignment="1">
      <alignment horizontal="center" vertical="center"/>
    </xf>
    <xf numFmtId="164" fontId="19" fillId="0" borderId="3" xfId="0" applyNumberFormat="1" applyFont="1" applyBorder="1" applyAlignment="1">
      <alignment horizontal="center" vertical="center"/>
    </xf>
    <xf numFmtId="164" fontId="19" fillId="0" borderId="13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3" fontId="17" fillId="0" borderId="12" xfId="0" applyNumberFormat="1" applyFont="1" applyBorder="1" applyAlignment="1">
      <alignment horizontal="center" vertical="center"/>
    </xf>
    <xf numFmtId="3" fontId="17" fillId="0" borderId="3" xfId="0" applyNumberFormat="1" applyFont="1" applyBorder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64" fontId="17" fillId="0" borderId="3" xfId="0" applyNumberFormat="1" applyFont="1" applyBorder="1" applyAlignment="1">
      <alignment horizontal="center" vertical="center"/>
    </xf>
    <xf numFmtId="164" fontId="17" fillId="0" borderId="13" xfId="0" applyNumberFormat="1" applyFont="1" applyBorder="1" applyAlignment="1">
      <alignment horizontal="center" vertical="center"/>
    </xf>
    <xf numFmtId="164" fontId="0" fillId="0" borderId="0" xfId="0" applyNumberFormat="1"/>
    <xf numFmtId="0" fontId="22" fillId="0" borderId="0" xfId="0" applyFont="1" applyAlignment="1">
      <alignment vertical="center" wrapText="1"/>
    </xf>
    <xf numFmtId="1" fontId="22" fillId="0" borderId="0" xfId="0" applyNumberFormat="1" applyFont="1" applyAlignment="1">
      <alignment vertical="center" wrapText="1"/>
    </xf>
    <xf numFmtId="0" fontId="28" fillId="2" borderId="10" xfId="0" applyFont="1" applyFill="1" applyBorder="1" applyAlignment="1">
      <alignment horizontal="left" vertical="center" wrapText="1"/>
    </xf>
    <xf numFmtId="164" fontId="28" fillId="2" borderId="3" xfId="0" applyNumberFormat="1" applyFont="1" applyFill="1" applyBorder="1" applyAlignment="1">
      <alignment vertical="center" wrapText="1"/>
    </xf>
    <xf numFmtId="0" fontId="29" fillId="2" borderId="3" xfId="0" applyFont="1" applyFill="1" applyBorder="1" applyAlignment="1">
      <alignment horizontal="left" vertical="center" wrapText="1"/>
    </xf>
    <xf numFmtId="10" fontId="0" fillId="0" borderId="0" xfId="0" applyNumberFormat="1"/>
    <xf numFmtId="164" fontId="29" fillId="2" borderId="3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center"/>
    </xf>
    <xf numFmtId="0" fontId="29" fillId="2" borderId="1" xfId="0" applyFont="1" applyFill="1" applyBorder="1" applyAlignment="1">
      <alignment horizontal="center" vertical="center" wrapText="1"/>
    </xf>
    <xf numFmtId="0" fontId="28" fillId="2" borderId="11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 wrapText="1"/>
    </xf>
    <xf numFmtId="0" fontId="29" fillId="2" borderId="11" xfId="0" applyFont="1" applyFill="1" applyBorder="1" applyAlignment="1">
      <alignment horizontal="left" vertical="center" wrapText="1"/>
    </xf>
    <xf numFmtId="3" fontId="0" fillId="0" borderId="0" xfId="0" applyNumberFormat="1"/>
    <xf numFmtId="0" fontId="13" fillId="0" borderId="10" xfId="0" applyFont="1" applyBorder="1" applyAlignment="1">
      <alignment horizontal="left"/>
    </xf>
    <xf numFmtId="164" fontId="13" fillId="0" borderId="10" xfId="0" applyNumberFormat="1" applyFont="1" applyBorder="1"/>
    <xf numFmtId="0" fontId="12" fillId="0" borderId="3" xfId="0" applyFont="1" applyBorder="1" applyAlignment="1">
      <alignment horizontal="left"/>
    </xf>
    <xf numFmtId="0" fontId="12" fillId="0" borderId="3" xfId="0" applyFont="1" applyBorder="1" applyAlignment="1">
      <alignment horizontal="left" wrapText="1"/>
    </xf>
    <xf numFmtId="0" fontId="25" fillId="0" borderId="0" xfId="0" applyFont="1" applyAlignment="1">
      <alignment horizontal="center"/>
    </xf>
    <xf numFmtId="3" fontId="13" fillId="0" borderId="3" xfId="0" applyNumberFormat="1" applyFont="1" applyBorder="1" applyAlignment="1">
      <alignment horizontal="center"/>
    </xf>
    <xf numFmtId="0" fontId="17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3" xfId="0" applyFont="1" applyBorder="1" applyAlignment="1">
      <alignment horizontal="center" vertical="center"/>
    </xf>
    <xf numFmtId="1" fontId="19" fillId="0" borderId="3" xfId="0" applyNumberFormat="1" applyFont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/>
    </xf>
    <xf numFmtId="0" fontId="17" fillId="0" borderId="3" xfId="0" applyFont="1" applyBorder="1" applyAlignment="1">
      <alignment horizontal="left" vertical="center"/>
    </xf>
    <xf numFmtId="1" fontId="17" fillId="0" borderId="3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1" fontId="17" fillId="0" borderId="10" xfId="0" applyNumberFormat="1" applyFont="1" applyBorder="1" applyAlignment="1">
      <alignment horizontal="center"/>
    </xf>
    <xf numFmtId="2" fontId="27" fillId="0" borderId="0" xfId="0" applyNumberFormat="1" applyFont="1"/>
    <xf numFmtId="0" fontId="24" fillId="0" borderId="0" xfId="0" applyFont="1"/>
    <xf numFmtId="0" fontId="17" fillId="0" borderId="10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/>
    </xf>
    <xf numFmtId="0" fontId="12" fillId="0" borderId="3" xfId="0" applyFont="1" applyBorder="1"/>
    <xf numFmtId="0" fontId="12" fillId="0" borderId="3" xfId="0" applyFont="1" applyBorder="1" applyAlignment="1">
      <alignment wrapText="1"/>
    </xf>
    <xf numFmtId="0" fontId="12" fillId="0" borderId="3" xfId="0" applyFont="1" applyBorder="1" applyAlignment="1">
      <alignment horizontal="center" vertical="center"/>
    </xf>
    <xf numFmtId="165" fontId="19" fillId="0" borderId="1" xfId="1" applyNumberFormat="1" applyFont="1" applyBorder="1"/>
    <xf numFmtId="164" fontId="19" fillId="0" borderId="13" xfId="0" applyNumberFormat="1" applyFont="1" applyBorder="1"/>
    <xf numFmtId="165" fontId="17" fillId="0" borderId="5" xfId="1" applyNumberFormat="1" applyFont="1" applyBorder="1"/>
    <xf numFmtId="164" fontId="17" fillId="0" borderId="13" xfId="0" applyNumberFormat="1" applyFont="1" applyBorder="1"/>
    <xf numFmtId="164" fontId="17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165" fontId="19" fillId="0" borderId="1" xfId="0" applyNumberFormat="1" applyFont="1" applyBorder="1"/>
    <xf numFmtId="164" fontId="17" fillId="0" borderId="6" xfId="0" applyNumberFormat="1" applyFont="1" applyBorder="1"/>
    <xf numFmtId="164" fontId="25" fillId="0" borderId="0" xfId="0" applyNumberFormat="1" applyFont="1"/>
    <xf numFmtId="0" fontId="13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7" fillId="0" borderId="6" xfId="0" applyFont="1" applyBorder="1"/>
    <xf numFmtId="0" fontId="17" fillId="0" borderId="22" xfId="0" applyFont="1" applyBorder="1" applyAlignment="1">
      <alignment horizontal="center"/>
    </xf>
    <xf numFmtId="0" fontId="19" fillId="0" borderId="16" xfId="0" applyFont="1" applyBorder="1"/>
    <xf numFmtId="3" fontId="28" fillId="0" borderId="1" xfId="0" applyNumberFormat="1" applyFont="1" applyBorder="1" applyAlignment="1">
      <alignment wrapText="1" readingOrder="1"/>
    </xf>
    <xf numFmtId="0" fontId="17" fillId="0" borderId="16" xfId="0" applyFont="1" applyBorder="1"/>
    <xf numFmtId="0" fontId="17" fillId="0" borderId="1" xfId="0" applyFont="1" applyBorder="1"/>
    <xf numFmtId="10" fontId="30" fillId="0" borderId="0" xfId="0" applyNumberFormat="1" applyFont="1"/>
    <xf numFmtId="0" fontId="31" fillId="0" borderId="0" xfId="0" applyFont="1"/>
    <xf numFmtId="10" fontId="31" fillId="0" borderId="0" xfId="0" applyNumberFormat="1" applyFont="1"/>
    <xf numFmtId="0" fontId="11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0" fontId="13" fillId="0" borderId="0" xfId="0" applyFont="1"/>
    <xf numFmtId="164" fontId="5" fillId="0" borderId="5" xfId="0" applyNumberFormat="1" applyFont="1" applyBorder="1" applyAlignment="1">
      <alignment horizontal="center"/>
    </xf>
    <xf numFmtId="3" fontId="19" fillId="0" borderId="1" xfId="0" applyNumberFormat="1" applyFont="1" applyBorder="1" applyAlignment="1">
      <alignment horizontal="center" vertical="center"/>
    </xf>
    <xf numFmtId="3" fontId="19" fillId="0" borderId="5" xfId="0" applyNumberFormat="1" applyFont="1" applyBorder="1" applyAlignment="1">
      <alignment horizontal="center" vertical="center"/>
    </xf>
    <xf numFmtId="0" fontId="22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12" fillId="0" borderId="1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9" fillId="0" borderId="18" xfId="0" applyFont="1" applyBorder="1"/>
    <xf numFmtId="165" fontId="0" fillId="0" borderId="0" xfId="0" applyNumberFormat="1"/>
    <xf numFmtId="0" fontId="17" fillId="0" borderId="18" xfId="0" applyFont="1" applyBorder="1"/>
    <xf numFmtId="3" fontId="30" fillId="0" borderId="0" xfId="0" applyNumberFormat="1" applyFont="1"/>
    <xf numFmtId="0" fontId="30" fillId="0" borderId="0" xfId="0" applyFont="1"/>
    <xf numFmtId="0" fontId="17" fillId="0" borderId="27" xfId="0" applyFont="1" applyBorder="1" applyAlignment="1">
      <alignment horizontal="center"/>
    </xf>
    <xf numFmtId="0" fontId="17" fillId="0" borderId="27" xfId="0" applyFont="1" applyBorder="1" applyAlignment="1">
      <alignment horizontal="center" wrapText="1"/>
    </xf>
    <xf numFmtId="0" fontId="19" fillId="0" borderId="18" xfId="0" applyFont="1" applyBorder="1" applyAlignment="1">
      <alignment wrapText="1"/>
    </xf>
    <xf numFmtId="3" fontId="28" fillId="0" borderId="1" xfId="0" applyNumberFormat="1" applyFont="1" applyBorder="1" applyAlignment="1">
      <alignment horizontal="center" vertical="center" wrapText="1" readingOrder="1"/>
    </xf>
    <xf numFmtId="0" fontId="17" fillId="0" borderId="10" xfId="0" applyFont="1" applyBorder="1"/>
    <xf numFmtId="0" fontId="19" fillId="0" borderId="3" xfId="0" applyFont="1" applyBorder="1" applyAlignment="1">
      <alignment wrapText="1" readingOrder="1"/>
    </xf>
    <xf numFmtId="0" fontId="17" fillId="0" borderId="3" xfId="0" applyFont="1" applyBorder="1" applyAlignment="1">
      <alignment horizontal="center" wrapText="1" readingOrder="1"/>
    </xf>
    <xf numFmtId="0" fontId="12" fillId="0" borderId="3" xfId="0" applyFont="1" applyBorder="1" applyAlignment="1">
      <alignment readingOrder="1"/>
    </xf>
    <xf numFmtId="0" fontId="12" fillId="0" borderId="0" xfId="0" applyFont="1"/>
    <xf numFmtId="3" fontId="19" fillId="0" borderId="3" xfId="0" applyNumberFormat="1" applyFont="1" applyBorder="1" applyAlignment="1">
      <alignment wrapText="1" readingOrder="1"/>
    </xf>
    <xf numFmtId="0" fontId="19" fillId="0" borderId="1" xfId="0" applyFont="1" applyBorder="1"/>
    <xf numFmtId="0" fontId="17" fillId="0" borderId="1" xfId="0" applyFont="1" applyBorder="1" applyAlignment="1">
      <alignment wrapText="1"/>
    </xf>
    <xf numFmtId="0" fontId="32" fillId="0" borderId="0" xfId="0" applyFont="1"/>
    <xf numFmtId="164" fontId="29" fillId="2" borderId="1" xfId="0" applyNumberFormat="1" applyFont="1" applyFill="1" applyBorder="1" applyAlignment="1">
      <alignment wrapText="1"/>
    </xf>
    <xf numFmtId="164" fontId="29" fillId="2" borderId="5" xfId="0" applyNumberFormat="1" applyFont="1" applyFill="1" applyBorder="1" applyAlignment="1">
      <alignment wrapText="1"/>
    </xf>
    <xf numFmtId="10" fontId="25" fillId="0" borderId="0" xfId="0" applyNumberFormat="1" applyFont="1"/>
    <xf numFmtId="1" fontId="19" fillId="0" borderId="3" xfId="0" applyNumberFormat="1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0" fontId="33" fillId="0" borderId="0" xfId="0" applyFont="1"/>
    <xf numFmtId="164" fontId="12" fillId="0" borderId="3" xfId="0" applyNumberFormat="1" applyFont="1" applyBorder="1"/>
    <xf numFmtId="164" fontId="28" fillId="0" borderId="13" xfId="2" applyNumberFormat="1" applyFont="1" applyBorder="1" applyAlignment="1">
      <alignment wrapText="1" readingOrder="1"/>
    </xf>
    <xf numFmtId="164" fontId="17" fillId="0" borderId="6" xfId="2" applyNumberFormat="1" applyFont="1" applyBorder="1" applyAlignment="1">
      <alignment readingOrder="1"/>
    </xf>
    <xf numFmtId="164" fontId="17" fillId="0" borderId="6" xfId="2" applyNumberFormat="1" applyFont="1" applyBorder="1" applyAlignment="1">
      <alignment horizontal="right" readingOrder="1"/>
    </xf>
    <xf numFmtId="3" fontId="17" fillId="0" borderId="1" xfId="0" applyNumberFormat="1" applyFont="1" applyBorder="1"/>
    <xf numFmtId="10" fontId="17" fillId="0" borderId="6" xfId="2" applyNumberFormat="1" applyFont="1" applyBorder="1" applyAlignment="1">
      <alignment horizontal="right" readingOrder="1"/>
    </xf>
    <xf numFmtId="164" fontId="19" fillId="0" borderId="9" xfId="0" applyNumberFormat="1" applyFont="1" applyBorder="1" applyAlignment="1">
      <alignment wrapText="1" readingOrder="1"/>
    </xf>
    <xf numFmtId="164" fontId="17" fillId="0" borderId="1" xfId="2" applyNumberFormat="1" applyFont="1" applyBorder="1" applyAlignment="1">
      <alignment horizontal="center" vertical="center"/>
    </xf>
    <xf numFmtId="164" fontId="19" fillId="0" borderId="1" xfId="2" applyNumberFormat="1" applyFont="1" applyBorder="1" applyAlignment="1">
      <alignment horizontal="center" vertical="center"/>
    </xf>
    <xf numFmtId="164" fontId="12" fillId="0" borderId="3" xfId="0" applyNumberFormat="1" applyFont="1" applyBorder="1" applyAlignment="1">
      <alignment readingOrder="1"/>
    </xf>
    <xf numFmtId="0" fontId="12" fillId="0" borderId="3" xfId="0" applyFont="1" applyBorder="1" applyAlignment="1">
      <alignment horizontal="right" readingOrder="1"/>
    </xf>
    <xf numFmtId="3" fontId="12" fillId="0" borderId="3" xfId="0" applyNumberFormat="1" applyFont="1" applyBorder="1"/>
    <xf numFmtId="3" fontId="12" fillId="0" borderId="3" xfId="0" applyNumberFormat="1" applyFont="1" applyBorder="1" applyAlignment="1">
      <alignment readingOrder="1"/>
    </xf>
    <xf numFmtId="3" fontId="15" fillId="0" borderId="3" xfId="0" applyNumberFormat="1" applyFont="1" applyBorder="1" applyAlignment="1">
      <alignment horizontal="right" vertical="center"/>
    </xf>
    <xf numFmtId="3" fontId="29" fillId="2" borderId="3" xfId="0" applyNumberFormat="1" applyFont="1" applyFill="1" applyBorder="1" applyAlignment="1">
      <alignment horizontal="center" vertical="center" wrapText="1"/>
    </xf>
    <xf numFmtId="3" fontId="28" fillId="2" borderId="10" xfId="0" applyNumberFormat="1" applyFont="1" applyFill="1" applyBorder="1" applyAlignment="1">
      <alignment horizontal="center" vertical="center" wrapText="1"/>
    </xf>
    <xf numFmtId="164" fontId="12" fillId="0" borderId="10" xfId="0" applyNumberFormat="1" applyFont="1" applyBorder="1"/>
    <xf numFmtId="164" fontId="29" fillId="2" borderId="1" xfId="0" applyNumberFormat="1" applyFont="1" applyFill="1" applyBorder="1" applyAlignment="1">
      <alignment horizontal="center" vertical="center" wrapText="1"/>
    </xf>
    <xf numFmtId="3" fontId="17" fillId="0" borderId="7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right" vertical="center" wrapText="1"/>
    </xf>
    <xf numFmtId="3" fontId="13" fillId="0" borderId="1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wrapText="1"/>
    </xf>
    <xf numFmtId="0" fontId="0" fillId="0" borderId="0" xfId="0" applyAlignment="1">
      <alignment wrapText="1"/>
    </xf>
    <xf numFmtId="0" fontId="14" fillId="0" borderId="10" xfId="0" applyFont="1" applyBorder="1"/>
    <xf numFmtId="165" fontId="14" fillId="0" borderId="10" xfId="1" applyNumberFormat="1" applyFont="1" applyBorder="1"/>
    <xf numFmtId="164" fontId="14" fillId="0" borderId="10" xfId="0" applyNumberFormat="1" applyFont="1" applyBorder="1"/>
    <xf numFmtId="0" fontId="15" fillId="0" borderId="10" xfId="0" applyFont="1" applyBorder="1"/>
    <xf numFmtId="165" fontId="15" fillId="0" borderId="10" xfId="1" applyNumberFormat="1" applyFont="1" applyBorder="1"/>
    <xf numFmtId="164" fontId="15" fillId="0" borderId="10" xfId="0" applyNumberFormat="1" applyFont="1" applyBorder="1"/>
    <xf numFmtId="165" fontId="14" fillId="0" borderId="1" xfId="1" applyNumberFormat="1" applyFont="1" applyBorder="1"/>
    <xf numFmtId="0" fontId="14" fillId="0" borderId="5" xfId="0" applyFont="1" applyBorder="1"/>
    <xf numFmtId="164" fontId="14" fillId="0" borderId="5" xfId="0" applyNumberFormat="1" applyFont="1" applyBorder="1"/>
    <xf numFmtId="3" fontId="14" fillId="0" borderId="5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3" fontId="15" fillId="0" borderId="10" xfId="0" applyNumberFormat="1" applyFont="1" applyBorder="1" applyAlignment="1">
      <alignment horizontal="center"/>
    </xf>
    <xf numFmtId="3" fontId="15" fillId="0" borderId="5" xfId="0" applyNumberFormat="1" applyFont="1" applyBorder="1" applyAlignment="1">
      <alignment horizontal="center"/>
    </xf>
    <xf numFmtId="0" fontId="29" fillId="2" borderId="30" xfId="0" applyFont="1" applyFill="1" applyBorder="1" applyAlignment="1">
      <alignment horizontal="center" vertical="center" wrapText="1"/>
    </xf>
    <xf numFmtId="164" fontId="28" fillId="2" borderId="10" xfId="0" applyNumberFormat="1" applyFont="1" applyFill="1" applyBorder="1" applyAlignment="1">
      <alignment vertical="center" wrapText="1"/>
    </xf>
    <xf numFmtId="0" fontId="29" fillId="2" borderId="31" xfId="0" applyFont="1" applyFill="1" applyBorder="1" applyAlignment="1">
      <alignment horizontal="center" vertical="center" wrapText="1"/>
    </xf>
    <xf numFmtId="0" fontId="28" fillId="2" borderId="18" xfId="0" applyFont="1" applyFill="1" applyBorder="1" applyAlignment="1">
      <alignment horizontal="left" vertical="center" wrapText="1"/>
    </xf>
    <xf numFmtId="3" fontId="13" fillId="0" borderId="5" xfId="0" applyNumberFormat="1" applyFont="1" applyBorder="1" applyAlignment="1">
      <alignment horizontal="center"/>
    </xf>
    <xf numFmtId="164" fontId="28" fillId="2" borderId="5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 wrapText="1"/>
    </xf>
    <xf numFmtId="164" fontId="19" fillId="0" borderId="21" xfId="0" applyNumberFormat="1" applyFont="1" applyBorder="1" applyAlignment="1">
      <alignment horizontal="center"/>
    </xf>
    <xf numFmtId="164" fontId="17" fillId="0" borderId="21" xfId="0" applyNumberFormat="1" applyFont="1" applyBorder="1" applyAlignment="1">
      <alignment horizontal="center"/>
    </xf>
    <xf numFmtId="1" fontId="19" fillId="0" borderId="1" xfId="0" applyNumberFormat="1" applyFont="1" applyBorder="1" applyAlignment="1">
      <alignment horizontal="center"/>
    </xf>
    <xf numFmtId="164" fontId="19" fillId="0" borderId="1" xfId="0" applyNumberFormat="1" applyFont="1" applyBorder="1" applyAlignment="1">
      <alignment horizontal="center"/>
    </xf>
    <xf numFmtId="1" fontId="17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/>
    </xf>
    <xf numFmtId="164" fontId="17" fillId="0" borderId="3" xfId="0" applyNumberFormat="1" applyFont="1" applyBorder="1" applyAlignment="1">
      <alignment horizontal="center"/>
    </xf>
    <xf numFmtId="3" fontId="14" fillId="0" borderId="3" xfId="0" applyNumberFormat="1" applyFont="1" applyBorder="1"/>
    <xf numFmtId="0" fontId="13" fillId="0" borderId="3" xfId="0" applyFont="1" applyBorder="1"/>
    <xf numFmtId="166" fontId="0" fillId="0" borderId="0" xfId="0" applyNumberFormat="1"/>
    <xf numFmtId="3" fontId="28" fillId="0" borderId="1" xfId="0" applyNumberFormat="1" applyFont="1" applyBorder="1" applyAlignment="1">
      <alignment horizontal="right" wrapText="1" readingOrder="1"/>
    </xf>
    <xf numFmtId="164" fontId="28" fillId="0" borderId="13" xfId="2" applyNumberFormat="1" applyFont="1" applyBorder="1" applyAlignment="1">
      <alignment horizontal="right" vertical="center" wrapText="1"/>
    </xf>
    <xf numFmtId="3" fontId="17" fillId="0" borderId="5" xfId="0" applyNumberFormat="1" applyFont="1" applyBorder="1" applyAlignment="1">
      <alignment horizontal="right" readingOrder="1"/>
    </xf>
    <xf numFmtId="164" fontId="17" fillId="0" borderId="1" xfId="0" applyNumberFormat="1" applyFont="1" applyBorder="1" applyAlignment="1">
      <alignment horizontal="right" vertical="center"/>
    </xf>
    <xf numFmtId="164" fontId="19" fillId="0" borderId="13" xfId="2" applyNumberFormat="1" applyFont="1" applyBorder="1" applyAlignment="1">
      <alignment horizontal="center"/>
    </xf>
    <xf numFmtId="164" fontId="17" fillId="0" borderId="6" xfId="2" applyNumberFormat="1" applyFont="1" applyBorder="1" applyAlignment="1">
      <alignment horizontal="center"/>
    </xf>
    <xf numFmtId="3" fontId="12" fillId="0" borderId="3" xfId="0" applyNumberFormat="1" applyFont="1" applyBorder="1" applyAlignment="1">
      <alignment horizontal="right" readingOrder="1"/>
    </xf>
    <xf numFmtId="0" fontId="19" fillId="0" borderId="10" xfId="0" applyFont="1" applyBorder="1" applyAlignment="1">
      <alignment wrapText="1" readingOrder="1"/>
    </xf>
    <xf numFmtId="3" fontId="19" fillId="0" borderId="10" xfId="0" applyNumberFormat="1" applyFont="1" applyBorder="1" applyAlignment="1">
      <alignment horizontal="right" vertical="center" wrapText="1" readingOrder="1"/>
    </xf>
    <xf numFmtId="164" fontId="19" fillId="0" borderId="23" xfId="0" applyNumberFormat="1" applyFont="1" applyBorder="1" applyAlignment="1">
      <alignment wrapText="1" readingOrder="1"/>
    </xf>
    <xf numFmtId="0" fontId="17" fillId="0" borderId="1" xfId="0" applyFont="1" applyBorder="1" applyAlignment="1">
      <alignment horizontal="center" wrapText="1" readingOrder="1"/>
    </xf>
    <xf numFmtId="0" fontId="19" fillId="0" borderId="3" xfId="0" applyFont="1" applyBorder="1"/>
    <xf numFmtId="0" fontId="17" fillId="0" borderId="3" xfId="0" applyFont="1" applyBorder="1"/>
    <xf numFmtId="0" fontId="6" fillId="0" borderId="0" xfId="0" applyFont="1" applyAlignment="1">
      <alignment vertical="top" wrapText="1"/>
    </xf>
    <xf numFmtId="3" fontId="12" fillId="0" borderId="19" xfId="0" applyNumberFormat="1" applyFont="1" applyBorder="1" applyAlignment="1">
      <alignment horizontal="right" readingOrder="1"/>
    </xf>
    <xf numFmtId="0" fontId="12" fillId="0" borderId="9" xfId="0" applyFont="1" applyBorder="1" applyAlignment="1">
      <alignment readingOrder="1"/>
    </xf>
    <xf numFmtId="0" fontId="12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3" fontId="19" fillId="0" borderId="3" xfId="0" applyNumberFormat="1" applyFont="1" applyBorder="1"/>
    <xf numFmtId="3" fontId="5" fillId="0" borderId="3" xfId="0" applyNumberFormat="1" applyFont="1" applyBorder="1"/>
    <xf numFmtId="3" fontId="12" fillId="0" borderId="13" xfId="0" applyNumberFormat="1" applyFont="1" applyBorder="1" applyAlignment="1">
      <alignment horizontal="center"/>
    </xf>
    <xf numFmtId="0" fontId="29" fillId="2" borderId="29" xfId="0" applyFont="1" applyFill="1" applyBorder="1" applyAlignment="1">
      <alignment horizontal="left" vertical="center" wrapText="1"/>
    </xf>
    <xf numFmtId="0" fontId="34" fillId="0" borderId="0" xfId="0" applyFont="1"/>
    <xf numFmtId="0" fontId="35" fillId="0" borderId="0" xfId="0" applyFont="1"/>
    <xf numFmtId="3" fontId="34" fillId="0" borderId="0" xfId="0" applyNumberFormat="1" applyFont="1"/>
    <xf numFmtId="0" fontId="35" fillId="2" borderId="0" xfId="0" applyFont="1" applyFill="1"/>
    <xf numFmtId="164" fontId="17" fillId="0" borderId="0" xfId="0" applyNumberFormat="1" applyFont="1" applyAlignment="1">
      <alignment vertical="center"/>
    </xf>
    <xf numFmtId="3" fontId="24" fillId="0" borderId="0" xfId="0" applyNumberFormat="1" applyFont="1"/>
    <xf numFmtId="0" fontId="9" fillId="0" borderId="0" xfId="0" applyFont="1"/>
    <xf numFmtId="3" fontId="35" fillId="0" borderId="0" xfId="0" applyNumberFormat="1" applyFont="1"/>
    <xf numFmtId="165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/>
    </xf>
    <xf numFmtId="3" fontId="2" fillId="0" borderId="1" xfId="0" applyNumberFormat="1" applyFont="1" applyBorder="1"/>
    <xf numFmtId="3" fontId="5" fillId="0" borderId="0" xfId="0" applyNumberFormat="1" applyFont="1"/>
    <xf numFmtId="3" fontId="5" fillId="0" borderId="1" xfId="0" applyNumberFormat="1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2" fillId="0" borderId="13" xfId="0" applyNumberFormat="1" applyFont="1" applyBorder="1"/>
    <xf numFmtId="0" fontId="12" fillId="0" borderId="1" xfId="0" applyFont="1" applyBorder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5" fontId="14" fillId="0" borderId="1" xfId="1" applyNumberFormat="1" applyFont="1" applyBorder="1" applyAlignment="1">
      <alignment horizontal="right"/>
    </xf>
    <xf numFmtId="166" fontId="14" fillId="0" borderId="1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165" fontId="3" fillId="0" borderId="3" xfId="1" applyNumberFormat="1" applyFont="1" applyBorder="1"/>
    <xf numFmtId="164" fontId="3" fillId="0" borderId="13" xfId="0" applyNumberFormat="1" applyFont="1" applyBorder="1" applyAlignment="1">
      <alignment horizontal="center" vertical="center"/>
    </xf>
    <xf numFmtId="165" fontId="14" fillId="0" borderId="5" xfId="1" applyNumberFormat="1" applyFont="1" applyBorder="1"/>
    <xf numFmtId="0" fontId="14" fillId="0" borderId="3" xfId="0" applyFont="1" applyBorder="1" applyAlignment="1">
      <alignment horizontal="left" vertical="center"/>
    </xf>
    <xf numFmtId="3" fontId="19" fillId="0" borderId="10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3" fontId="22" fillId="0" borderId="0" xfId="0" applyNumberFormat="1" applyFont="1"/>
    <xf numFmtId="0" fontId="0" fillId="0" borderId="0" xfId="0" applyAlignment="1">
      <alignment horizontal="left"/>
    </xf>
    <xf numFmtId="0" fontId="22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center"/>
    </xf>
    <xf numFmtId="164" fontId="12" fillId="0" borderId="1" xfId="0" applyNumberFormat="1" applyFont="1" applyBorder="1" applyAlignment="1">
      <alignment horizontal="center"/>
    </xf>
    <xf numFmtId="0" fontId="17" fillId="0" borderId="0" xfId="0" applyFont="1" applyAlignment="1">
      <alignment horizontal="left" vertical="center"/>
    </xf>
    <xf numFmtId="164" fontId="12" fillId="0" borderId="0" xfId="0" applyNumberFormat="1" applyFont="1" applyAlignment="1">
      <alignment horizontal="center"/>
    </xf>
    <xf numFmtId="167" fontId="13" fillId="0" borderId="3" xfId="0" applyNumberFormat="1" applyFont="1" applyBorder="1" applyAlignment="1">
      <alignment horizontal="center"/>
    </xf>
    <xf numFmtId="3" fontId="14" fillId="0" borderId="3" xfId="0" applyNumberFormat="1" applyFont="1" applyBorder="1" applyAlignment="1">
      <alignment horizontal="right" vertical="center" wrapText="1"/>
    </xf>
    <xf numFmtId="0" fontId="22" fillId="0" borderId="0" xfId="0" applyFont="1" applyAlignment="1">
      <alignment horizontal="left" vertical="center" wrapText="1"/>
    </xf>
    <xf numFmtId="167" fontId="12" fillId="0" borderId="5" xfId="0" applyNumberFormat="1" applyFont="1" applyBorder="1" applyAlignment="1">
      <alignment horizontal="center"/>
    </xf>
    <xf numFmtId="167" fontId="12" fillId="0" borderId="1" xfId="0" applyNumberFormat="1" applyFont="1" applyBorder="1" applyAlignment="1">
      <alignment horizontal="center"/>
    </xf>
    <xf numFmtId="164" fontId="17" fillId="0" borderId="13" xfId="0" applyNumberFormat="1" applyFont="1" applyBorder="1" applyAlignment="1">
      <alignment horizontal="center"/>
    </xf>
    <xf numFmtId="164" fontId="17" fillId="0" borderId="10" xfId="0" applyNumberFormat="1" applyFont="1" applyBorder="1" applyAlignment="1">
      <alignment horizontal="center"/>
    </xf>
    <xf numFmtId="164" fontId="17" fillId="0" borderId="6" xfId="0" applyNumberFormat="1" applyFont="1" applyBorder="1" applyAlignment="1">
      <alignment horizontal="center"/>
    </xf>
    <xf numFmtId="0" fontId="37" fillId="0" borderId="0" xfId="0" applyFont="1" applyAlignment="1">
      <alignment horizontal="left" wrapText="1"/>
    </xf>
    <xf numFmtId="3" fontId="14" fillId="0" borderId="3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6" fillId="4" borderId="0" xfId="0" applyFont="1" applyFill="1" applyAlignment="1">
      <alignment vertical="top"/>
    </xf>
    <xf numFmtId="0" fontId="0" fillId="4" borderId="0" xfId="0" applyFill="1"/>
    <xf numFmtId="0" fontId="0" fillId="4" borderId="0" xfId="0" applyFill="1" applyAlignment="1">
      <alignment wrapText="1"/>
    </xf>
    <xf numFmtId="0" fontId="6" fillId="4" borderId="0" xfId="0" applyFont="1" applyFill="1" applyAlignment="1">
      <alignment vertical="top" wrapText="1"/>
    </xf>
    <xf numFmtId="0" fontId="0" fillId="4" borderId="0" xfId="0" applyFill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8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9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2" fillId="0" borderId="21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18" xfId="0" applyFont="1" applyBorder="1" applyAlignment="1">
      <alignment horizontal="center" vertical="center" wrapText="1"/>
    </xf>
    <xf numFmtId="0" fontId="37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7" fillId="0" borderId="1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19" fillId="0" borderId="4" xfId="0" applyFont="1" applyBorder="1" applyAlignment="1">
      <alignment vertical="center" wrapText="1"/>
    </xf>
    <xf numFmtId="0" fontId="17" fillId="0" borderId="2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2" borderId="0" xfId="0" applyFont="1" applyFill="1" applyAlignment="1">
      <alignment horizontal="center" vertical="center" wrapText="1"/>
    </xf>
    <xf numFmtId="0" fontId="22" fillId="0" borderId="8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22" fillId="0" borderId="2" xfId="0" applyFont="1" applyBorder="1" applyAlignment="1">
      <alignment horizontal="left"/>
    </xf>
    <xf numFmtId="0" fontId="19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7" fillId="0" borderId="3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 readingOrder="1"/>
    </xf>
    <xf numFmtId="0" fontId="19" fillId="0" borderId="11" xfId="0" applyFont="1" applyBorder="1" applyAlignment="1">
      <alignment horizontal="center" vertical="center" wrapText="1" readingOrder="1"/>
    </xf>
    <xf numFmtId="0" fontId="19" fillId="0" borderId="20" xfId="0" applyFont="1" applyBorder="1" applyAlignment="1">
      <alignment horizontal="center" vertical="center" wrapText="1" readingOrder="1"/>
    </xf>
    <xf numFmtId="0" fontId="19" fillId="0" borderId="19" xfId="0" applyFont="1" applyBorder="1" applyAlignment="1">
      <alignment horizontal="center" vertical="center" wrapText="1" readingOrder="1"/>
    </xf>
    <xf numFmtId="0" fontId="14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</cellXfs>
  <cellStyles count="4">
    <cellStyle name="Normal" xfId="0" builtinId="0"/>
    <cellStyle name="Normal 16 2" xfId="3" xr:uid="{5C69E7C6-DA43-4BD4-9FF4-EA6487EFB5B8}"/>
    <cellStyle name="Porcentagem" xfId="2" builtinId="5"/>
    <cellStyle name="Vírgula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F695A-30DC-41DE-86A8-A65AD8B2310E}">
  <sheetPr>
    <tabColor theme="7" tint="-0.499984740745262"/>
  </sheetPr>
  <dimension ref="A1:D88"/>
  <sheetViews>
    <sheetView topLeftCell="A33" zoomScale="85" zoomScaleNormal="85" workbookViewId="0">
      <selection activeCell="B45" sqref="B45"/>
    </sheetView>
  </sheetViews>
  <sheetFormatPr defaultColWidth="9.28515625" defaultRowHeight="14.45"/>
  <cols>
    <col min="1" max="1" width="11" style="250" customWidth="1"/>
    <col min="2" max="2" width="130.28515625" style="250" customWidth="1"/>
    <col min="3" max="3" width="37" style="250" customWidth="1"/>
    <col min="4" max="4" width="21.140625" style="250" customWidth="1"/>
    <col min="5" max="16384" width="9.28515625" style="250"/>
  </cols>
  <sheetData>
    <row r="1" spans="1:3" ht="16.149999999999999">
      <c r="A1" s="394" t="s">
        <v>0</v>
      </c>
      <c r="B1" s="394"/>
      <c r="C1" s="395"/>
    </row>
    <row r="2" spans="1:3" ht="16.149999999999999">
      <c r="A2" s="251" t="s">
        <v>1</v>
      </c>
      <c r="B2" s="252" t="s">
        <v>2</v>
      </c>
      <c r="C2" s="253" t="s">
        <v>3</v>
      </c>
    </row>
    <row r="3" spans="1:3" ht="32.450000000000003">
      <c r="A3" s="254" t="s">
        <v>4</v>
      </c>
      <c r="B3" s="255" t="s">
        <v>5</v>
      </c>
      <c r="C3" s="256" t="s">
        <v>6</v>
      </c>
    </row>
    <row r="4" spans="1:3" ht="32.450000000000003">
      <c r="A4" s="254" t="s">
        <v>7</v>
      </c>
      <c r="B4" s="255" t="s">
        <v>8</v>
      </c>
      <c r="C4" s="256" t="s">
        <v>6</v>
      </c>
    </row>
    <row r="5" spans="1:3" ht="32.450000000000003">
      <c r="A5" s="254" t="s">
        <v>9</v>
      </c>
      <c r="B5" s="255" t="s">
        <v>10</v>
      </c>
      <c r="C5" s="256" t="s">
        <v>6</v>
      </c>
    </row>
    <row r="6" spans="1:3" ht="32.450000000000003">
      <c r="A6" s="254" t="s">
        <v>11</v>
      </c>
      <c r="B6" s="255" t="s">
        <v>12</v>
      </c>
      <c r="C6" s="256" t="s">
        <v>6</v>
      </c>
    </row>
    <row r="7" spans="1:3" ht="32.450000000000003">
      <c r="A7" s="254" t="s">
        <v>13</v>
      </c>
      <c r="B7" s="255" t="s">
        <v>14</v>
      </c>
      <c r="C7" s="256" t="s">
        <v>6</v>
      </c>
    </row>
    <row r="8" spans="1:3" ht="32.450000000000003">
      <c r="A8" s="254" t="s">
        <v>15</v>
      </c>
      <c r="B8" s="255" t="s">
        <v>16</v>
      </c>
      <c r="C8" s="256" t="s">
        <v>6</v>
      </c>
    </row>
    <row r="9" spans="1:3" ht="32.450000000000003">
      <c r="A9" s="254" t="s">
        <v>17</v>
      </c>
      <c r="B9" s="255" t="s">
        <v>18</v>
      </c>
      <c r="C9" s="256" t="s">
        <v>6</v>
      </c>
    </row>
    <row r="10" spans="1:3" ht="32.450000000000003">
      <c r="A10" s="254" t="s">
        <v>19</v>
      </c>
      <c r="B10" s="255" t="s">
        <v>20</v>
      </c>
      <c r="C10" s="256" t="s">
        <v>6</v>
      </c>
    </row>
    <row r="11" spans="1:3" ht="48.6">
      <c r="A11" s="254" t="s">
        <v>21</v>
      </c>
      <c r="B11" s="255" t="s">
        <v>22</v>
      </c>
      <c r="C11" s="256" t="s">
        <v>6</v>
      </c>
    </row>
    <row r="12" spans="1:3" ht="32.450000000000003">
      <c r="A12" s="254" t="s">
        <v>23</v>
      </c>
      <c r="B12" s="255" t="s">
        <v>24</v>
      </c>
      <c r="C12" s="256" t="s">
        <v>6</v>
      </c>
    </row>
    <row r="13" spans="1:3" ht="32.450000000000003">
      <c r="A13" s="254" t="s">
        <v>25</v>
      </c>
      <c r="B13" s="255" t="s">
        <v>26</v>
      </c>
      <c r="C13" s="256" t="s">
        <v>6</v>
      </c>
    </row>
    <row r="14" spans="1:3" ht="32.450000000000003">
      <c r="A14" s="254" t="s">
        <v>27</v>
      </c>
      <c r="B14" s="255" t="s">
        <v>28</v>
      </c>
      <c r="C14" s="256" t="s">
        <v>6</v>
      </c>
    </row>
    <row r="15" spans="1:3" ht="32.450000000000003">
      <c r="A15" s="254" t="s">
        <v>29</v>
      </c>
      <c r="B15" s="255" t="s">
        <v>30</v>
      </c>
      <c r="C15" s="256" t="s">
        <v>6</v>
      </c>
    </row>
    <row r="16" spans="1:3" ht="32.450000000000003">
      <c r="A16" s="254" t="s">
        <v>31</v>
      </c>
      <c r="B16" s="255" t="s">
        <v>32</v>
      </c>
      <c r="C16" s="256" t="s">
        <v>6</v>
      </c>
    </row>
    <row r="17" spans="1:4" ht="32.450000000000003">
      <c r="A17" s="254" t="s">
        <v>33</v>
      </c>
      <c r="B17" s="259" t="s">
        <v>34</v>
      </c>
      <c r="C17" s="260" t="s">
        <v>6</v>
      </c>
    </row>
    <row r="18" spans="1:4" ht="32.450000000000003">
      <c r="A18" s="254" t="s">
        <v>35</v>
      </c>
      <c r="B18" s="255" t="s">
        <v>36</v>
      </c>
      <c r="C18" s="256" t="s">
        <v>6</v>
      </c>
    </row>
    <row r="19" spans="1:4" ht="32.450000000000003">
      <c r="A19" s="254" t="s">
        <v>37</v>
      </c>
      <c r="B19" s="255" t="s">
        <v>38</v>
      </c>
      <c r="C19" s="261" t="s">
        <v>39</v>
      </c>
      <c r="D19" s="273"/>
    </row>
    <row r="20" spans="1:4" ht="32.450000000000003">
      <c r="A20" s="254" t="s">
        <v>40</v>
      </c>
      <c r="B20" s="255" t="s">
        <v>41</v>
      </c>
      <c r="C20" s="256" t="s">
        <v>39</v>
      </c>
      <c r="D20" s="273"/>
    </row>
    <row r="21" spans="1:4" ht="32.450000000000003">
      <c r="A21" s="254" t="s">
        <v>42</v>
      </c>
      <c r="B21" s="255" t="s">
        <v>43</v>
      </c>
      <c r="C21" s="262" t="s">
        <v>39</v>
      </c>
      <c r="D21" s="273"/>
    </row>
    <row r="22" spans="1:4" ht="32.450000000000003">
      <c r="A22" s="254" t="s">
        <v>44</v>
      </c>
      <c r="B22" s="263" t="s">
        <v>45</v>
      </c>
      <c r="C22" s="258" t="s">
        <v>39</v>
      </c>
      <c r="D22" s="273"/>
    </row>
    <row r="23" spans="1:4" ht="32.450000000000003">
      <c r="A23" s="254" t="s">
        <v>46</v>
      </c>
      <c r="B23" s="263" t="s">
        <v>47</v>
      </c>
      <c r="C23" s="257" t="s">
        <v>48</v>
      </c>
      <c r="D23" s="273"/>
    </row>
    <row r="24" spans="1:4" ht="32.450000000000003">
      <c r="A24" s="254" t="s">
        <v>49</v>
      </c>
      <c r="B24" s="263" t="s">
        <v>50</v>
      </c>
      <c r="C24" s="257" t="s">
        <v>48</v>
      </c>
      <c r="D24" s="273"/>
    </row>
    <row r="25" spans="1:4" ht="32.450000000000003">
      <c r="A25" s="254" t="s">
        <v>51</v>
      </c>
      <c r="B25" s="263" t="s">
        <v>52</v>
      </c>
      <c r="C25" s="257" t="s">
        <v>48</v>
      </c>
      <c r="D25" s="273"/>
    </row>
    <row r="26" spans="1:4" ht="32.450000000000003">
      <c r="A26" s="254" t="s">
        <v>53</v>
      </c>
      <c r="B26" s="263" t="s">
        <v>54</v>
      </c>
      <c r="C26" s="264" t="s">
        <v>48</v>
      </c>
      <c r="D26" s="273"/>
    </row>
    <row r="27" spans="1:4" ht="32.450000000000003">
      <c r="A27" s="254" t="s">
        <v>55</v>
      </c>
      <c r="B27" s="263" t="s">
        <v>56</v>
      </c>
      <c r="C27" s="257" t="s">
        <v>48</v>
      </c>
      <c r="D27" s="273"/>
    </row>
    <row r="28" spans="1:4" ht="32.450000000000003">
      <c r="A28" s="254" t="s">
        <v>57</v>
      </c>
      <c r="B28" s="263" t="s">
        <v>58</v>
      </c>
      <c r="C28" s="257" t="s">
        <v>48</v>
      </c>
      <c r="D28" s="273"/>
    </row>
    <row r="29" spans="1:4" ht="32.450000000000003">
      <c r="A29" s="254" t="s">
        <v>59</v>
      </c>
      <c r="B29" s="263" t="s">
        <v>60</v>
      </c>
      <c r="C29" s="257" t="s">
        <v>48</v>
      </c>
      <c r="D29" s="273"/>
    </row>
    <row r="30" spans="1:4" ht="32.450000000000003">
      <c r="A30" s="254" t="s">
        <v>61</v>
      </c>
      <c r="B30" s="263" t="s">
        <v>62</v>
      </c>
      <c r="C30" s="257" t="s">
        <v>48</v>
      </c>
      <c r="D30" s="273"/>
    </row>
    <row r="31" spans="1:4" ht="32.450000000000003">
      <c r="A31" s="254" t="s">
        <v>63</v>
      </c>
      <c r="B31" s="263" t="s">
        <v>64</v>
      </c>
      <c r="C31" s="257" t="s">
        <v>48</v>
      </c>
      <c r="D31" s="273"/>
    </row>
    <row r="32" spans="1:4" ht="51.6" customHeight="1">
      <c r="A32" s="254" t="s">
        <v>65</v>
      </c>
      <c r="B32" s="255" t="s">
        <v>66</v>
      </c>
      <c r="C32" s="265" t="s">
        <v>67</v>
      </c>
      <c r="D32" s="273"/>
    </row>
    <row r="33" spans="1:4" ht="53.25" customHeight="1">
      <c r="A33" s="254" t="s">
        <v>68</v>
      </c>
      <c r="B33" s="255" t="s">
        <v>69</v>
      </c>
      <c r="C33" s="265" t="s">
        <v>67</v>
      </c>
      <c r="D33" s="273"/>
    </row>
    <row r="34" spans="1:4" ht="48.6">
      <c r="A34" s="254" t="s">
        <v>70</v>
      </c>
      <c r="B34" s="255" t="s">
        <v>71</v>
      </c>
      <c r="C34" s="265" t="s">
        <v>67</v>
      </c>
      <c r="D34" s="273"/>
    </row>
    <row r="35" spans="1:4" ht="48.6">
      <c r="A35" s="254" t="s">
        <v>72</v>
      </c>
      <c r="B35" s="255" t="s">
        <v>73</v>
      </c>
      <c r="C35" s="265" t="s">
        <v>67</v>
      </c>
      <c r="D35" s="273"/>
    </row>
    <row r="36" spans="1:4" ht="16.149999999999999">
      <c r="A36" s="254" t="s">
        <v>74</v>
      </c>
      <c r="B36" s="255" t="s">
        <v>75</v>
      </c>
      <c r="C36" s="265" t="s">
        <v>67</v>
      </c>
      <c r="D36" s="273"/>
    </row>
    <row r="37" spans="1:4" ht="32.450000000000003">
      <c r="A37" s="254" t="s">
        <v>76</v>
      </c>
      <c r="B37" s="255" t="s">
        <v>77</v>
      </c>
      <c r="C37" s="265" t="s">
        <v>67</v>
      </c>
      <c r="D37" s="273"/>
    </row>
    <row r="38" spans="1:4" ht="32.450000000000003">
      <c r="A38" s="254" t="s">
        <v>78</v>
      </c>
      <c r="B38" s="255" t="s">
        <v>79</v>
      </c>
      <c r="C38" s="265" t="s">
        <v>67</v>
      </c>
      <c r="D38" s="273"/>
    </row>
    <row r="39" spans="1:4" ht="47.25" customHeight="1">
      <c r="A39" s="254" t="s">
        <v>80</v>
      </c>
      <c r="B39" s="255" t="s">
        <v>81</v>
      </c>
      <c r="C39" s="265" t="s">
        <v>67</v>
      </c>
      <c r="D39" s="273"/>
    </row>
    <row r="40" spans="1:4" ht="32.450000000000003">
      <c r="A40" s="254" t="s">
        <v>82</v>
      </c>
      <c r="B40" s="255" t="s">
        <v>83</v>
      </c>
      <c r="C40" s="265" t="s">
        <v>67</v>
      </c>
      <c r="D40" s="273"/>
    </row>
    <row r="41" spans="1:4" ht="32.450000000000003">
      <c r="A41" s="254" t="s">
        <v>84</v>
      </c>
      <c r="B41" s="255" t="s">
        <v>85</v>
      </c>
      <c r="C41" s="265" t="s">
        <v>67</v>
      </c>
      <c r="D41" s="273"/>
    </row>
    <row r="42" spans="1:4" ht="32.450000000000003">
      <c r="A42" s="254" t="s">
        <v>86</v>
      </c>
      <c r="B42" s="255" t="s">
        <v>87</v>
      </c>
      <c r="C42" s="265" t="s">
        <v>67</v>
      </c>
      <c r="D42" s="273"/>
    </row>
    <row r="43" spans="1:4" ht="32.450000000000003">
      <c r="A43" s="254" t="s">
        <v>88</v>
      </c>
      <c r="B43" s="255" t="s">
        <v>89</v>
      </c>
      <c r="C43" s="265" t="s">
        <v>67</v>
      </c>
      <c r="D43" s="273"/>
    </row>
    <row r="44" spans="1:4" ht="15.75">
      <c r="A44" s="254" t="s">
        <v>90</v>
      </c>
      <c r="B44" s="255" t="s">
        <v>91</v>
      </c>
      <c r="C44" s="265" t="s">
        <v>67</v>
      </c>
      <c r="D44" s="273"/>
    </row>
    <row r="45" spans="1:4" ht="32.25">
      <c r="A45" s="254" t="s">
        <v>92</v>
      </c>
      <c r="B45" s="255" t="s">
        <v>93</v>
      </c>
      <c r="C45" s="265" t="s">
        <v>67</v>
      </c>
      <c r="D45" s="273"/>
    </row>
    <row r="46" spans="1:4" ht="16.149999999999999">
      <c r="A46" s="254" t="s">
        <v>94</v>
      </c>
      <c r="B46" s="255" t="s">
        <v>95</v>
      </c>
      <c r="C46" s="265" t="s">
        <v>67</v>
      </c>
      <c r="D46" s="273"/>
    </row>
    <row r="47" spans="1:4" ht="32.450000000000003">
      <c r="A47" s="254" t="s">
        <v>96</v>
      </c>
      <c r="B47" s="255" t="s">
        <v>97</v>
      </c>
      <c r="C47" s="265" t="s">
        <v>67</v>
      </c>
      <c r="D47" s="273"/>
    </row>
    <row r="48" spans="1:4" ht="32.450000000000003">
      <c r="A48" s="254" t="s">
        <v>98</v>
      </c>
      <c r="B48" s="255" t="s">
        <v>99</v>
      </c>
      <c r="C48" s="265" t="s">
        <v>67</v>
      </c>
      <c r="D48" s="273"/>
    </row>
    <row r="49" spans="1:4" ht="32.450000000000003">
      <c r="A49" s="254" t="s">
        <v>100</v>
      </c>
      <c r="B49" s="255" t="s">
        <v>101</v>
      </c>
      <c r="C49" s="265" t="s">
        <v>67</v>
      </c>
      <c r="D49" s="273"/>
    </row>
    <row r="50" spans="1:4" ht="16.149999999999999">
      <c r="A50" s="254" t="s">
        <v>102</v>
      </c>
      <c r="B50" s="266" t="s">
        <v>103</v>
      </c>
      <c r="C50" s="265" t="s">
        <v>67</v>
      </c>
      <c r="D50" s="273"/>
    </row>
    <row r="51" spans="1:4" ht="16.149999999999999">
      <c r="A51" s="254" t="s">
        <v>104</v>
      </c>
      <c r="B51" s="266" t="s">
        <v>105</v>
      </c>
      <c r="C51" s="265" t="s">
        <v>67</v>
      </c>
      <c r="D51" s="273"/>
    </row>
    <row r="52" spans="1:4" ht="16.149999999999999">
      <c r="A52" s="254" t="s">
        <v>106</v>
      </c>
      <c r="B52" s="255" t="s">
        <v>107</v>
      </c>
      <c r="C52" s="265" t="s">
        <v>67</v>
      </c>
      <c r="D52" s="273"/>
    </row>
    <row r="53" spans="1:4" ht="16.149999999999999">
      <c r="A53" s="254" t="s">
        <v>108</v>
      </c>
      <c r="B53" s="255" t="s">
        <v>109</v>
      </c>
      <c r="C53" s="265" t="s">
        <v>67</v>
      </c>
      <c r="D53" s="273"/>
    </row>
    <row r="54" spans="1:4" ht="16.149999999999999">
      <c r="A54" s="254" t="s">
        <v>110</v>
      </c>
      <c r="B54" s="255" t="s">
        <v>111</v>
      </c>
      <c r="C54" s="265" t="s">
        <v>67</v>
      </c>
      <c r="D54" s="273"/>
    </row>
    <row r="55" spans="1:4" ht="16.149999999999999">
      <c r="A55" s="254" t="s">
        <v>112</v>
      </c>
      <c r="B55" s="255" t="s">
        <v>113</v>
      </c>
      <c r="C55" s="265" t="s">
        <v>67</v>
      </c>
      <c r="D55" s="273"/>
    </row>
    <row r="56" spans="1:4" ht="16.149999999999999">
      <c r="A56" s="254" t="s">
        <v>114</v>
      </c>
      <c r="B56" s="267" t="s">
        <v>115</v>
      </c>
      <c r="C56" s="265" t="s">
        <v>67</v>
      </c>
      <c r="D56" s="273"/>
    </row>
    <row r="57" spans="1:4" ht="16.149999999999999">
      <c r="A57" s="254" t="s">
        <v>116</v>
      </c>
      <c r="B57" s="267" t="s">
        <v>117</v>
      </c>
      <c r="C57" s="265" t="s">
        <v>67</v>
      </c>
      <c r="D57" s="273"/>
    </row>
    <row r="58" spans="1:4" ht="64.900000000000006">
      <c r="A58" s="254" t="s">
        <v>118</v>
      </c>
      <c r="B58" s="267" t="s">
        <v>119</v>
      </c>
      <c r="C58" s="265" t="s">
        <v>67</v>
      </c>
      <c r="D58" s="273"/>
    </row>
    <row r="59" spans="1:4" ht="65.25" customHeight="1">
      <c r="A59" s="254" t="s">
        <v>120</v>
      </c>
      <c r="B59" s="267" t="s">
        <v>121</v>
      </c>
      <c r="C59" s="265" t="s">
        <v>67</v>
      </c>
      <c r="D59" s="273"/>
    </row>
    <row r="60" spans="1:4" ht="32.450000000000003">
      <c r="A60" s="254" t="s">
        <v>122</v>
      </c>
      <c r="B60" s="267" t="s">
        <v>123</v>
      </c>
      <c r="C60" s="265" t="s">
        <v>67</v>
      </c>
      <c r="D60" s="273"/>
    </row>
    <row r="61" spans="1:4" ht="41.25" customHeight="1">
      <c r="A61" s="254" t="s">
        <v>124</v>
      </c>
      <c r="B61" s="267" t="s">
        <v>123</v>
      </c>
      <c r="C61" s="265" t="s">
        <v>67</v>
      </c>
      <c r="D61" s="273"/>
    </row>
    <row r="62" spans="1:4" ht="16.149999999999999">
      <c r="A62" s="254" t="s">
        <v>125</v>
      </c>
      <c r="B62" s="268" t="s">
        <v>126</v>
      </c>
      <c r="C62" s="265" t="s">
        <v>67</v>
      </c>
      <c r="D62" s="273"/>
    </row>
    <row r="63" spans="1:4" ht="16.149999999999999">
      <c r="A63" s="254" t="s">
        <v>127</v>
      </c>
      <c r="B63" s="268" t="s">
        <v>128</v>
      </c>
      <c r="C63" s="265" t="s">
        <v>67</v>
      </c>
      <c r="D63" s="273"/>
    </row>
    <row r="64" spans="1:4" ht="16.149999999999999">
      <c r="A64" s="254" t="s">
        <v>129</v>
      </c>
      <c r="B64" s="255" t="s">
        <v>130</v>
      </c>
      <c r="C64" s="260" t="s">
        <v>131</v>
      </c>
    </row>
    <row r="65" spans="1:4" ht="16.149999999999999">
      <c r="A65" s="254" t="s">
        <v>132</v>
      </c>
      <c r="B65" s="267" t="s">
        <v>133</v>
      </c>
      <c r="C65" s="269" t="s">
        <v>131</v>
      </c>
    </row>
    <row r="66" spans="1:4" ht="16.149999999999999">
      <c r="A66" s="254" t="s">
        <v>134</v>
      </c>
      <c r="B66" s="270" t="s">
        <v>135</v>
      </c>
      <c r="C66" s="257" t="s">
        <v>131</v>
      </c>
    </row>
    <row r="67" spans="1:4" ht="32.450000000000003">
      <c r="A67" s="254" t="s">
        <v>136</v>
      </c>
      <c r="B67" s="255" t="s">
        <v>137</v>
      </c>
      <c r="C67" s="265" t="s">
        <v>138</v>
      </c>
    </row>
    <row r="68" spans="1:4" ht="32.450000000000003">
      <c r="A68" s="254" t="s">
        <v>139</v>
      </c>
      <c r="B68" s="255" t="s">
        <v>140</v>
      </c>
      <c r="C68" s="265" t="s">
        <v>138</v>
      </c>
    </row>
    <row r="69" spans="1:4" ht="32.450000000000003">
      <c r="A69" s="254" t="s">
        <v>141</v>
      </c>
      <c r="B69" s="255" t="s">
        <v>142</v>
      </c>
      <c r="C69" s="265" t="s">
        <v>138</v>
      </c>
    </row>
    <row r="70" spans="1:4" ht="32.450000000000003">
      <c r="A70" s="254" t="s">
        <v>143</v>
      </c>
      <c r="B70" s="255" t="s">
        <v>144</v>
      </c>
      <c r="C70" s="265" t="s">
        <v>138</v>
      </c>
    </row>
    <row r="71" spans="1:4" ht="32.450000000000003">
      <c r="A71" s="254" t="s">
        <v>145</v>
      </c>
      <c r="B71" s="255" t="s">
        <v>146</v>
      </c>
      <c r="C71" s="265" t="s">
        <v>138</v>
      </c>
    </row>
    <row r="72" spans="1:4" ht="32.450000000000003">
      <c r="A72" s="254" t="s">
        <v>147</v>
      </c>
      <c r="B72" s="255" t="s">
        <v>148</v>
      </c>
      <c r="C72" s="265" t="s">
        <v>138</v>
      </c>
    </row>
    <row r="73" spans="1:4" ht="32.450000000000003">
      <c r="A73" s="254" t="s">
        <v>149</v>
      </c>
      <c r="B73" s="255" t="s">
        <v>150</v>
      </c>
      <c r="C73" s="265" t="s">
        <v>138</v>
      </c>
    </row>
    <row r="74" spans="1:4" ht="32.450000000000003">
      <c r="A74" s="254" t="s">
        <v>151</v>
      </c>
      <c r="B74" s="255" t="s">
        <v>152</v>
      </c>
      <c r="C74" s="265" t="s">
        <v>153</v>
      </c>
      <c r="D74" s="274"/>
    </row>
    <row r="75" spans="1:4" ht="32.450000000000003">
      <c r="A75" s="254" t="s">
        <v>154</v>
      </c>
      <c r="B75" s="255" t="s">
        <v>155</v>
      </c>
      <c r="C75" s="265" t="s">
        <v>153</v>
      </c>
    </row>
    <row r="76" spans="1:4" ht="32.450000000000003">
      <c r="A76" s="254" t="s">
        <v>156</v>
      </c>
      <c r="B76" s="272" t="s">
        <v>157</v>
      </c>
      <c r="C76" s="265" t="s">
        <v>153</v>
      </c>
    </row>
    <row r="77" spans="1:4" ht="32.450000000000003">
      <c r="A77" s="254" t="s">
        <v>158</v>
      </c>
      <c r="B77" s="270" t="s">
        <v>159</v>
      </c>
      <c r="C77" s="271" t="s">
        <v>160</v>
      </c>
    </row>
    <row r="88" spans="4:4">
      <c r="D88" s="275"/>
    </row>
  </sheetData>
  <mergeCells count="1">
    <mergeCell ref="A1:C1"/>
  </mergeCells>
  <pageMargins left="0.7" right="0.7" top="0.75" bottom="0.75" header="0.3" footer="0.3"/>
  <pageSetup paperSize="9"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E36D1-3994-4424-92DF-96B1A49019AE}">
  <dimension ref="A1:C19"/>
  <sheetViews>
    <sheetView workbookViewId="0">
      <selection activeCell="C20" sqref="C20"/>
    </sheetView>
  </sheetViews>
  <sheetFormatPr defaultRowHeight="14.45"/>
  <cols>
    <col min="1" max="1" width="39.140625" customWidth="1"/>
    <col min="2" max="2" width="28.7109375" customWidth="1"/>
    <col min="3" max="3" width="27.7109375" customWidth="1"/>
  </cols>
  <sheetData>
    <row r="1" spans="1:3" ht="75.75" customHeight="1">
      <c r="A1" s="410" t="s">
        <v>217</v>
      </c>
      <c r="B1" s="410"/>
      <c r="C1" s="410"/>
    </row>
    <row r="2" spans="1:3" ht="16.149999999999999">
      <c r="A2" s="15" t="s">
        <v>218</v>
      </c>
      <c r="B2" s="15" t="s">
        <v>219</v>
      </c>
      <c r="C2" s="15" t="s">
        <v>184</v>
      </c>
    </row>
    <row r="3" spans="1:3" ht="16.149999999999999">
      <c r="A3" s="37" t="s">
        <v>180</v>
      </c>
      <c r="B3" s="41">
        <v>11434</v>
      </c>
      <c r="C3" s="42">
        <v>100</v>
      </c>
    </row>
    <row r="4" spans="1:3" ht="16.149999999999999">
      <c r="A4" s="43" t="s">
        <v>220</v>
      </c>
      <c r="B4" s="44">
        <v>1354</v>
      </c>
      <c r="C4" s="45">
        <v>11.8</v>
      </c>
    </row>
    <row r="5" spans="1:3" ht="16.149999999999999">
      <c r="A5" s="43" t="s">
        <v>221</v>
      </c>
      <c r="B5" s="44">
        <v>1618</v>
      </c>
      <c r="C5" s="45">
        <v>14.2</v>
      </c>
    </row>
    <row r="6" spans="1:3" ht="16.149999999999999">
      <c r="A6" s="43" t="s">
        <v>222</v>
      </c>
      <c r="B6" s="44">
        <v>425</v>
      </c>
      <c r="C6" s="45">
        <v>3.7</v>
      </c>
    </row>
    <row r="7" spans="1:3" ht="16.149999999999999">
      <c r="A7" s="43" t="s">
        <v>223</v>
      </c>
      <c r="B7" s="44">
        <v>426</v>
      </c>
      <c r="C7" s="45">
        <v>3.7</v>
      </c>
    </row>
    <row r="8" spans="1:3" ht="16.149999999999999">
      <c r="A8" s="43" t="s">
        <v>224</v>
      </c>
      <c r="B8" s="44">
        <v>5753</v>
      </c>
      <c r="C8" s="45">
        <v>50.3</v>
      </c>
    </row>
    <row r="9" spans="1:3" ht="16.149999999999999">
      <c r="A9" s="43" t="s">
        <v>225</v>
      </c>
      <c r="B9" s="44">
        <v>2450</v>
      </c>
      <c r="C9" s="45">
        <v>21.4</v>
      </c>
    </row>
    <row r="10" spans="1:3" ht="16.149999999999999">
      <c r="A10" s="43" t="s">
        <v>226</v>
      </c>
      <c r="B10" s="44">
        <v>1684</v>
      </c>
      <c r="C10" s="45">
        <v>14.7</v>
      </c>
    </row>
    <row r="11" spans="1:3" ht="16.149999999999999">
      <c r="A11" s="24" t="s">
        <v>186</v>
      </c>
      <c r="B11" s="25"/>
      <c r="C11" s="25"/>
    </row>
    <row r="12" spans="1:3">
      <c r="A12" s="8" t="s">
        <v>227</v>
      </c>
    </row>
    <row r="13" spans="1:3" ht="66.599999999999994" customHeight="1">
      <c r="A13" s="399" t="s">
        <v>208</v>
      </c>
      <c r="B13" s="399"/>
      <c r="C13" s="399"/>
    </row>
    <row r="14" spans="1:3" ht="54.6" customHeight="1">
      <c r="A14" s="399" t="s">
        <v>228</v>
      </c>
      <c r="B14" s="399"/>
      <c r="C14" s="399"/>
    </row>
    <row r="19" spans="2:2">
      <c r="B19" s="205"/>
    </row>
  </sheetData>
  <mergeCells count="3">
    <mergeCell ref="A1:C1"/>
    <mergeCell ref="A13:C13"/>
    <mergeCell ref="A14:C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7112A-8879-4BC1-9177-0AC67465680E}">
  <dimension ref="A1:C11"/>
  <sheetViews>
    <sheetView workbookViewId="0">
      <selection activeCell="A9" sqref="A9"/>
    </sheetView>
  </sheetViews>
  <sheetFormatPr defaultRowHeight="14.45"/>
  <cols>
    <col min="1" max="1" width="36.7109375" customWidth="1"/>
    <col min="2" max="2" width="31.5703125" customWidth="1"/>
    <col min="3" max="3" width="36.85546875" customWidth="1"/>
  </cols>
  <sheetData>
    <row r="1" spans="1:3" ht="60.75" customHeight="1">
      <c r="A1" s="410" t="s">
        <v>229</v>
      </c>
      <c r="B1" s="410"/>
      <c r="C1" s="410"/>
    </row>
    <row r="2" spans="1:3" ht="16.149999999999999">
      <c r="A2" s="15" t="s">
        <v>230</v>
      </c>
      <c r="B2" s="15" t="s">
        <v>180</v>
      </c>
      <c r="C2" s="15" t="s">
        <v>184</v>
      </c>
    </row>
    <row r="3" spans="1:3" ht="16.149999999999999">
      <c r="A3" s="37" t="s">
        <v>180</v>
      </c>
      <c r="B3" s="38">
        <v>173829</v>
      </c>
      <c r="C3" s="39">
        <v>100</v>
      </c>
    </row>
    <row r="4" spans="1:3" ht="16.149999999999999">
      <c r="A4" s="40" t="s">
        <v>231</v>
      </c>
      <c r="B4" s="35">
        <v>156752</v>
      </c>
      <c r="C4" s="36">
        <v>93.386475070448554</v>
      </c>
    </row>
    <row r="5" spans="1:3" ht="16.149999999999999">
      <c r="A5" s="40" t="s">
        <v>232</v>
      </c>
      <c r="B5" s="35">
        <v>10502</v>
      </c>
      <c r="C5" s="36">
        <v>6.2566650581163286</v>
      </c>
    </row>
    <row r="6" spans="1:3" ht="16.149999999999999">
      <c r="A6" s="40" t="s">
        <v>233</v>
      </c>
      <c r="B6" s="35">
        <v>599</v>
      </c>
      <c r="C6" s="36">
        <v>0.35685987143512482</v>
      </c>
    </row>
    <row r="7" spans="1:3" ht="16.149999999999999">
      <c r="A7" s="40" t="s">
        <v>234</v>
      </c>
      <c r="B7" s="35">
        <v>5976</v>
      </c>
      <c r="C7" s="36" t="s">
        <v>195</v>
      </c>
    </row>
    <row r="8" spans="1:3" ht="16.149999999999999">
      <c r="A8" s="24" t="s">
        <v>186</v>
      </c>
      <c r="B8" s="25"/>
      <c r="C8" s="25"/>
    </row>
    <row r="9" spans="1:3">
      <c r="A9" s="8" t="s">
        <v>170</v>
      </c>
    </row>
    <row r="10" spans="1:3" ht="66" customHeight="1">
      <c r="A10" s="399" t="s">
        <v>208</v>
      </c>
      <c r="B10" s="399"/>
      <c r="C10" s="399"/>
    </row>
    <row r="11" spans="1:3">
      <c r="A11" s="26" t="s">
        <v>235</v>
      </c>
    </row>
  </sheetData>
  <mergeCells count="2">
    <mergeCell ref="A1:C1"/>
    <mergeCell ref="A10:C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16F78-6078-4D0A-A9FE-BAC730F71540}">
  <dimension ref="A1:C7"/>
  <sheetViews>
    <sheetView workbookViewId="0">
      <selection activeCell="F7" sqref="F7"/>
    </sheetView>
  </sheetViews>
  <sheetFormatPr defaultRowHeight="14.45"/>
  <cols>
    <col min="1" max="1" width="39.85546875" customWidth="1"/>
    <col min="2" max="2" width="25.140625" customWidth="1"/>
    <col min="3" max="3" width="27.5703125" customWidth="1"/>
  </cols>
  <sheetData>
    <row r="1" spans="1:3" ht="72" customHeight="1">
      <c r="A1" s="408" t="s">
        <v>236</v>
      </c>
      <c r="B1" s="408"/>
      <c r="C1" s="408"/>
    </row>
    <row r="2" spans="1:3" ht="16.149999999999999">
      <c r="A2" s="15" t="s">
        <v>237</v>
      </c>
      <c r="B2" s="15" t="s">
        <v>180</v>
      </c>
      <c r="C2" s="15" t="s">
        <v>238</v>
      </c>
    </row>
    <row r="3" spans="1:3" ht="15">
      <c r="A3" s="37" t="s">
        <v>180</v>
      </c>
      <c r="B3" s="38">
        <v>173829</v>
      </c>
      <c r="C3" s="39">
        <v>100</v>
      </c>
    </row>
    <row r="4" spans="1:3" ht="16.149999999999999">
      <c r="A4" s="40" t="s">
        <v>239</v>
      </c>
      <c r="B4" s="35">
        <v>77780</v>
      </c>
      <c r="C4" s="36">
        <v>44.745123080728803</v>
      </c>
    </row>
    <row r="5" spans="1:3" ht="16.149999999999999">
      <c r="A5" s="24" t="s">
        <v>186</v>
      </c>
      <c r="B5" s="25"/>
      <c r="C5" s="25"/>
    </row>
    <row r="6" spans="1:3">
      <c r="A6" s="8" t="s">
        <v>196</v>
      </c>
    </row>
    <row r="7" spans="1:3" ht="82.15" customHeight="1">
      <c r="A7" s="399" t="s">
        <v>208</v>
      </c>
      <c r="B7" s="399"/>
      <c r="C7" s="399"/>
    </row>
  </sheetData>
  <mergeCells count="2">
    <mergeCell ref="A1:C1"/>
    <mergeCell ref="A7:C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422BE-98D6-4DCC-BA3D-1F73D0DE680A}">
  <dimension ref="A1:C16"/>
  <sheetViews>
    <sheetView workbookViewId="0">
      <selection activeCell="A15" sqref="A15"/>
    </sheetView>
  </sheetViews>
  <sheetFormatPr defaultRowHeight="14.45"/>
  <cols>
    <col min="1" max="1" width="40.140625" customWidth="1"/>
    <col min="2" max="3" width="28.85546875" customWidth="1"/>
  </cols>
  <sheetData>
    <row r="1" spans="1:3" ht="61.5" customHeight="1">
      <c r="A1" s="403" t="s">
        <v>240</v>
      </c>
      <c r="B1" s="403"/>
      <c r="C1" s="403"/>
    </row>
    <row r="2" spans="1:3" ht="16.149999999999999">
      <c r="A2" s="15" t="s">
        <v>241</v>
      </c>
      <c r="B2" s="15" t="s">
        <v>219</v>
      </c>
      <c r="C2" s="15" t="s">
        <v>211</v>
      </c>
    </row>
    <row r="3" spans="1:3" ht="16.149999999999999">
      <c r="A3" s="37" t="s">
        <v>180</v>
      </c>
      <c r="B3" s="38">
        <v>173829</v>
      </c>
      <c r="C3" s="39">
        <v>100</v>
      </c>
    </row>
    <row r="4" spans="1:3" ht="16.149999999999999">
      <c r="A4" s="40" t="s">
        <v>242</v>
      </c>
      <c r="B4" s="35">
        <v>108505</v>
      </c>
      <c r="C4" s="36">
        <v>71.637011850922661</v>
      </c>
    </row>
    <row r="5" spans="1:3" ht="16.149999999999999">
      <c r="A5" s="40" t="s">
        <v>243</v>
      </c>
      <c r="B5" s="35">
        <v>926</v>
      </c>
      <c r="C5" s="36">
        <v>0.61136236094147156</v>
      </c>
    </row>
    <row r="6" spans="1:3" ht="16.149999999999999">
      <c r="A6" s="40" t="s">
        <v>244</v>
      </c>
      <c r="B6" s="35">
        <v>1141</v>
      </c>
      <c r="C6" s="36">
        <v>0.75330934539332517</v>
      </c>
    </row>
    <row r="7" spans="1:3" ht="16.149999999999999">
      <c r="A7" s="40" t="s">
        <v>245</v>
      </c>
      <c r="B7" s="35">
        <v>390</v>
      </c>
      <c r="C7" s="36">
        <v>0.25748522761033898</v>
      </c>
    </row>
    <row r="8" spans="1:3" ht="16.149999999999999">
      <c r="A8" s="40" t="s">
        <v>246</v>
      </c>
      <c r="B8" s="35">
        <v>4997</v>
      </c>
      <c r="C8" s="36">
        <v>3.2991120060740107</v>
      </c>
    </row>
    <row r="9" spans="1:3" ht="16.149999999999999">
      <c r="A9" s="40" t="s">
        <v>247</v>
      </c>
      <c r="B9" s="35">
        <v>22581</v>
      </c>
      <c r="C9" s="36">
        <v>14.908394678638629</v>
      </c>
    </row>
    <row r="10" spans="1:3" ht="16.149999999999999">
      <c r="A10" s="40" t="s">
        <v>248</v>
      </c>
      <c r="B10" s="35">
        <v>3673</v>
      </c>
      <c r="C10" s="36">
        <v>2.4249826692635263</v>
      </c>
    </row>
    <row r="11" spans="1:3" ht="16.149999999999999">
      <c r="A11" s="40" t="s">
        <v>249</v>
      </c>
      <c r="B11" s="35">
        <v>178</v>
      </c>
      <c r="C11" s="36">
        <v>0.11751889875548807</v>
      </c>
    </row>
    <row r="12" spans="1:3" ht="16.149999999999999">
      <c r="A12" s="40" t="s">
        <v>250</v>
      </c>
      <c r="B12" s="35">
        <v>9074</v>
      </c>
      <c r="C12" s="36">
        <v>5.9908229624005553</v>
      </c>
    </row>
    <row r="13" spans="1:3" ht="16.149999999999999">
      <c r="A13" s="40" t="s">
        <v>234</v>
      </c>
      <c r="B13" s="35">
        <v>22364</v>
      </c>
      <c r="C13" s="36" t="s">
        <v>195</v>
      </c>
    </row>
    <row r="14" spans="1:3" ht="16.149999999999999">
      <c r="A14" s="24" t="s">
        <v>186</v>
      </c>
      <c r="B14" s="25"/>
      <c r="C14" s="25"/>
    </row>
    <row r="15" spans="1:3">
      <c r="A15" s="8" t="s">
        <v>196</v>
      </c>
    </row>
    <row r="16" spans="1:3" ht="68.25" customHeight="1">
      <c r="A16" s="399" t="s">
        <v>208</v>
      </c>
      <c r="B16" s="399"/>
      <c r="C16" s="399"/>
    </row>
  </sheetData>
  <mergeCells count="2">
    <mergeCell ref="A1:C1"/>
    <mergeCell ref="A16:C1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2D07A-14F5-465B-B205-B7E2BDE9C91F}">
  <dimension ref="A1:C18"/>
  <sheetViews>
    <sheetView workbookViewId="0">
      <selection activeCell="A16" sqref="A16"/>
    </sheetView>
  </sheetViews>
  <sheetFormatPr defaultRowHeight="14.45"/>
  <cols>
    <col min="1" max="1" width="46" customWidth="1"/>
    <col min="2" max="2" width="18.5703125" customWidth="1"/>
    <col min="3" max="3" width="23.5703125" customWidth="1"/>
  </cols>
  <sheetData>
    <row r="1" spans="1:3" ht="81" customHeight="1">
      <c r="A1" s="411" t="s">
        <v>251</v>
      </c>
      <c r="B1" s="408"/>
      <c r="C1" s="408"/>
    </row>
    <row r="2" spans="1:3">
      <c r="A2" s="402" t="s">
        <v>252</v>
      </c>
      <c r="B2" s="402" t="s">
        <v>253</v>
      </c>
      <c r="C2" s="406" t="s">
        <v>184</v>
      </c>
    </row>
    <row r="3" spans="1:3">
      <c r="A3" s="402"/>
      <c r="B3" s="402"/>
      <c r="C3" s="407"/>
    </row>
    <row r="4" spans="1:3" ht="16.149999999999999">
      <c r="A4" s="37" t="s">
        <v>180</v>
      </c>
      <c r="B4" s="349">
        <v>302856</v>
      </c>
      <c r="C4" s="350">
        <v>100</v>
      </c>
    </row>
    <row r="5" spans="1:3" ht="16.149999999999999">
      <c r="A5" s="40" t="s">
        <v>220</v>
      </c>
      <c r="B5" s="35">
        <v>172051</v>
      </c>
      <c r="C5" s="4">
        <v>56.8</v>
      </c>
    </row>
    <row r="6" spans="1:3" ht="16.149999999999999">
      <c r="A6" s="40" t="s">
        <v>254</v>
      </c>
      <c r="B6" s="35">
        <v>90424</v>
      </c>
      <c r="C6" s="43">
        <v>29.9</v>
      </c>
    </row>
    <row r="7" spans="1:3" ht="16.149999999999999">
      <c r="A7" s="40" t="s">
        <v>255</v>
      </c>
      <c r="B7" s="35">
        <v>32546</v>
      </c>
      <c r="C7" s="43">
        <v>10.7</v>
      </c>
    </row>
    <row r="8" spans="1:3" ht="16.149999999999999">
      <c r="A8" s="40" t="s">
        <v>256</v>
      </c>
      <c r="B8" s="35">
        <v>68995</v>
      </c>
      <c r="C8" s="43">
        <v>22.8</v>
      </c>
    </row>
    <row r="9" spans="1:3" ht="16.149999999999999">
      <c r="A9" s="40" t="s">
        <v>257</v>
      </c>
      <c r="B9" s="35">
        <v>172</v>
      </c>
      <c r="C9" s="43">
        <v>0.1</v>
      </c>
    </row>
    <row r="10" spans="1:3" ht="16.149999999999999">
      <c r="A10" s="40" t="s">
        <v>258</v>
      </c>
      <c r="B10" s="35">
        <v>8149</v>
      </c>
      <c r="C10" s="43">
        <v>2.7</v>
      </c>
    </row>
    <row r="11" spans="1:3" ht="16.149999999999999">
      <c r="A11" s="40" t="s">
        <v>259</v>
      </c>
      <c r="B11" s="35">
        <v>7246</v>
      </c>
      <c r="C11" s="43">
        <v>2.4</v>
      </c>
    </row>
    <row r="12" spans="1:3" ht="16.149999999999999">
      <c r="A12" s="40" t="s">
        <v>260</v>
      </c>
      <c r="B12" s="35">
        <v>581</v>
      </c>
      <c r="C12" s="43">
        <v>0.2</v>
      </c>
    </row>
    <row r="13" spans="1:3" ht="16.149999999999999">
      <c r="A13" s="40" t="s">
        <v>261</v>
      </c>
      <c r="B13" s="35">
        <v>393</v>
      </c>
      <c r="C13" s="43">
        <v>0.1</v>
      </c>
    </row>
    <row r="14" spans="1:3" ht="16.149999999999999">
      <c r="A14" s="40" t="s">
        <v>262</v>
      </c>
      <c r="B14" s="48">
        <v>5240</v>
      </c>
      <c r="C14" s="43">
        <v>1.7</v>
      </c>
    </row>
    <row r="15" spans="1:3" ht="16.149999999999999">
      <c r="A15" s="24" t="s">
        <v>186</v>
      </c>
      <c r="B15" s="25"/>
      <c r="C15" s="25"/>
    </row>
    <row r="16" spans="1:3">
      <c r="A16" s="8" t="s">
        <v>196</v>
      </c>
    </row>
    <row r="17" spans="1:3" ht="77.45" customHeight="1">
      <c r="A17" s="399" t="s">
        <v>208</v>
      </c>
      <c r="B17" s="399"/>
      <c r="C17" s="399"/>
    </row>
    <row r="18" spans="1:3">
      <c r="A18" s="24" t="s">
        <v>263</v>
      </c>
    </row>
  </sheetData>
  <mergeCells count="5">
    <mergeCell ref="A1:C1"/>
    <mergeCell ref="A2:A3"/>
    <mergeCell ref="B2:B3"/>
    <mergeCell ref="C2:C3"/>
    <mergeCell ref="A17:C1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20DFB-AE23-44D6-8B08-65AEBCA7D66D}">
  <dimension ref="A1:C16"/>
  <sheetViews>
    <sheetView workbookViewId="0">
      <selection activeCell="A14" sqref="A14"/>
    </sheetView>
  </sheetViews>
  <sheetFormatPr defaultRowHeight="14.45"/>
  <cols>
    <col min="1" max="1" width="38.42578125" customWidth="1"/>
    <col min="2" max="2" width="22.28515625" customWidth="1"/>
    <col min="3" max="3" width="27.5703125" customWidth="1"/>
  </cols>
  <sheetData>
    <row r="1" spans="1:3" ht="61.5" customHeight="1">
      <c r="A1" s="408" t="s">
        <v>264</v>
      </c>
      <c r="B1" s="408"/>
      <c r="C1" s="408"/>
    </row>
    <row r="2" spans="1:3" ht="16.149999999999999">
      <c r="A2" s="15" t="s">
        <v>265</v>
      </c>
      <c r="B2" s="15" t="s">
        <v>219</v>
      </c>
      <c r="C2" s="15" t="s">
        <v>184</v>
      </c>
    </row>
    <row r="3" spans="1:3" ht="16.149999999999999">
      <c r="A3" s="37" t="s">
        <v>180</v>
      </c>
      <c r="B3" s="351">
        <v>173829</v>
      </c>
      <c r="C3" s="356">
        <v>100</v>
      </c>
    </row>
    <row r="4" spans="1:3" ht="16.149999999999999">
      <c r="A4" s="40" t="s">
        <v>266</v>
      </c>
      <c r="B4" s="352">
        <v>13681</v>
      </c>
      <c r="C4" s="43">
        <v>7.9</v>
      </c>
    </row>
    <row r="5" spans="1:3" ht="16.149999999999999">
      <c r="A5" s="40" t="s">
        <v>267</v>
      </c>
      <c r="B5" s="353">
        <v>3279</v>
      </c>
      <c r="C5" s="354">
        <v>1.9</v>
      </c>
    </row>
    <row r="6" spans="1:3" ht="16.149999999999999">
      <c r="A6" s="40" t="s">
        <v>268</v>
      </c>
      <c r="B6" s="355">
        <v>10178</v>
      </c>
      <c r="C6" s="354">
        <v>5.9</v>
      </c>
    </row>
    <row r="7" spans="1:3" ht="16.149999999999999">
      <c r="A7" s="40" t="s">
        <v>269</v>
      </c>
      <c r="B7" s="355">
        <v>119058</v>
      </c>
      <c r="C7" s="354">
        <v>68.5</v>
      </c>
    </row>
    <row r="8" spans="1:3" ht="16.149999999999999">
      <c r="A8" s="40" t="s">
        <v>270</v>
      </c>
      <c r="B8" s="355">
        <v>13206</v>
      </c>
      <c r="C8" s="354">
        <v>7.6</v>
      </c>
    </row>
    <row r="9" spans="1:3" ht="16.149999999999999">
      <c r="A9" s="40" t="s">
        <v>271</v>
      </c>
      <c r="B9" s="43">
        <v>901</v>
      </c>
      <c r="C9" s="354">
        <v>0.5</v>
      </c>
    </row>
    <row r="10" spans="1:3" ht="16.149999999999999">
      <c r="A10" s="40" t="s">
        <v>272</v>
      </c>
      <c r="B10" s="355">
        <v>1192</v>
      </c>
      <c r="C10" s="354">
        <v>0.7</v>
      </c>
    </row>
    <row r="11" spans="1:3" ht="16.149999999999999">
      <c r="A11" s="40" t="s">
        <v>273</v>
      </c>
      <c r="B11" s="355">
        <v>47816</v>
      </c>
      <c r="C11" s="354">
        <v>27.5</v>
      </c>
    </row>
    <row r="12" spans="1:3" ht="16.149999999999999">
      <c r="A12" s="40" t="s">
        <v>250</v>
      </c>
      <c r="B12" s="355">
        <v>11705</v>
      </c>
      <c r="C12" s="354">
        <v>6.7</v>
      </c>
    </row>
    <row r="13" spans="1:3" ht="16.149999999999999">
      <c r="A13" s="24" t="s">
        <v>186</v>
      </c>
      <c r="B13" s="25"/>
      <c r="C13" s="25"/>
    </row>
    <row r="14" spans="1:3">
      <c r="A14" s="8" t="s">
        <v>274</v>
      </c>
    </row>
    <row r="15" spans="1:3" ht="79.900000000000006" customHeight="1">
      <c r="A15" s="399" t="s">
        <v>208</v>
      </c>
      <c r="B15" s="399"/>
      <c r="C15" s="399"/>
    </row>
    <row r="16" spans="1:3" ht="28.15" customHeight="1">
      <c r="A16" s="399" t="s">
        <v>275</v>
      </c>
      <c r="B16" s="399"/>
      <c r="C16" s="399"/>
    </row>
  </sheetData>
  <mergeCells count="3">
    <mergeCell ref="A1:C1"/>
    <mergeCell ref="A15:C15"/>
    <mergeCell ref="A16:C1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A22F5-80D0-40CE-8641-9DBC1B3AC351}">
  <dimension ref="A1:C11"/>
  <sheetViews>
    <sheetView workbookViewId="0">
      <selection activeCell="A10" sqref="A10"/>
    </sheetView>
  </sheetViews>
  <sheetFormatPr defaultRowHeight="14.45"/>
  <cols>
    <col min="1" max="1" width="37" customWidth="1"/>
    <col min="2" max="3" width="31.28515625" customWidth="1"/>
  </cols>
  <sheetData>
    <row r="1" spans="1:3" ht="75" customHeight="1">
      <c r="A1" s="403" t="s">
        <v>276</v>
      </c>
      <c r="B1" s="403"/>
      <c r="C1" s="403"/>
    </row>
    <row r="2" spans="1:3" ht="16.149999999999999">
      <c r="A2" s="15" t="s">
        <v>162</v>
      </c>
      <c r="B2" s="15" t="s">
        <v>180</v>
      </c>
      <c r="C2" s="15" t="s">
        <v>238</v>
      </c>
    </row>
    <row r="3" spans="1:3" ht="16.149999999999999">
      <c r="A3" s="16" t="s">
        <v>163</v>
      </c>
      <c r="B3" s="17">
        <v>77780</v>
      </c>
      <c r="C3" s="18">
        <v>44.745123080728803</v>
      </c>
    </row>
    <row r="4" spans="1:3" ht="16.149999999999999">
      <c r="A4" s="19" t="s">
        <v>164</v>
      </c>
      <c r="B4" s="20">
        <v>5235</v>
      </c>
      <c r="C4" s="21">
        <v>51.168018766493987</v>
      </c>
    </row>
    <row r="5" spans="1:3" ht="16.149999999999999">
      <c r="A5" s="19" t="s">
        <v>165</v>
      </c>
      <c r="B5" s="22">
        <v>15384</v>
      </c>
      <c r="C5" s="23">
        <v>45.404639631662832</v>
      </c>
    </row>
    <row r="6" spans="1:3" ht="16.149999999999999">
      <c r="A6" s="19" t="s">
        <v>166</v>
      </c>
      <c r="B6" s="22">
        <v>40794</v>
      </c>
      <c r="C6" s="23">
        <v>43.485769107771027</v>
      </c>
    </row>
    <row r="7" spans="1:3" ht="16.149999999999999">
      <c r="A7" s="19" t="s">
        <v>185</v>
      </c>
      <c r="B7" s="20">
        <v>12221</v>
      </c>
      <c r="C7" s="21">
        <v>48.846876373955794</v>
      </c>
    </row>
    <row r="8" spans="1:3" ht="16.149999999999999">
      <c r="A8" s="19" t="s">
        <v>168</v>
      </c>
      <c r="B8" s="20">
        <v>4146</v>
      </c>
      <c r="C8" s="21">
        <v>38.082116285478094</v>
      </c>
    </row>
    <row r="9" spans="1:3">
      <c r="A9" s="24" t="s">
        <v>186</v>
      </c>
    </row>
    <row r="10" spans="1:3">
      <c r="A10" s="8" t="s">
        <v>274</v>
      </c>
    </row>
    <row r="11" spans="1:3" ht="66.599999999999994" customHeight="1">
      <c r="A11" s="399" t="s">
        <v>208</v>
      </c>
      <c r="B11" s="399"/>
      <c r="C11" s="399"/>
    </row>
  </sheetData>
  <mergeCells count="2">
    <mergeCell ref="A1:C1"/>
    <mergeCell ref="A11:C1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39731-163D-4DF1-B7EC-B50F13C1CE45}">
  <dimension ref="A1:C9"/>
  <sheetViews>
    <sheetView workbookViewId="0">
      <selection activeCell="A8" sqref="A8"/>
    </sheetView>
  </sheetViews>
  <sheetFormatPr defaultRowHeight="14.45"/>
  <cols>
    <col min="1" max="1" width="36.7109375" customWidth="1"/>
    <col min="2" max="3" width="25.140625" customWidth="1"/>
  </cols>
  <sheetData>
    <row r="1" spans="1:3" ht="72" customHeight="1">
      <c r="A1" s="403" t="s">
        <v>277</v>
      </c>
      <c r="B1" s="403"/>
      <c r="C1" s="403"/>
    </row>
    <row r="2" spans="1:3" ht="16.149999999999999">
      <c r="A2" s="71" t="s">
        <v>278</v>
      </c>
      <c r="B2" s="71" t="s">
        <v>180</v>
      </c>
      <c r="C2" s="71" t="s">
        <v>238</v>
      </c>
    </row>
    <row r="3" spans="1:3" ht="16.149999999999999">
      <c r="A3" s="72" t="s">
        <v>180</v>
      </c>
      <c r="B3" s="290">
        <v>110256</v>
      </c>
      <c r="C3" s="46">
        <v>25.678014099999999</v>
      </c>
    </row>
    <row r="4" spans="1:3" ht="16.149999999999999">
      <c r="A4" s="287" t="s">
        <v>191</v>
      </c>
      <c r="B4" s="288">
        <v>27379</v>
      </c>
      <c r="C4" s="289">
        <v>21.662829200000001</v>
      </c>
    </row>
    <row r="5" spans="1:3" ht="16.149999999999999">
      <c r="A5" s="31" t="s">
        <v>192</v>
      </c>
      <c r="B5" s="32">
        <v>82839</v>
      </c>
      <c r="C5" s="33">
        <v>27.352603200000001</v>
      </c>
    </row>
    <row r="6" spans="1:3" ht="16.149999999999999">
      <c r="A6" s="31" t="s">
        <v>194</v>
      </c>
      <c r="B6" s="32">
        <v>38</v>
      </c>
      <c r="C6" s="51" t="s">
        <v>195</v>
      </c>
    </row>
    <row r="7" spans="1:3">
      <c r="A7" s="52" t="s">
        <v>186</v>
      </c>
      <c r="B7" s="52"/>
      <c r="C7" s="52"/>
    </row>
    <row r="8" spans="1:3">
      <c r="A8" s="8" t="s">
        <v>279</v>
      </c>
    </row>
    <row r="9" spans="1:3" ht="78" customHeight="1">
      <c r="A9" s="399" t="s">
        <v>208</v>
      </c>
      <c r="B9" s="399"/>
      <c r="C9" s="399"/>
    </row>
  </sheetData>
  <mergeCells count="2">
    <mergeCell ref="A1:C1"/>
    <mergeCell ref="A9:C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43C52-77DC-4325-AB68-C6BF1C34B7E8}">
  <dimension ref="A1:G12"/>
  <sheetViews>
    <sheetView workbookViewId="0">
      <selection sqref="A1:G1"/>
    </sheetView>
  </sheetViews>
  <sheetFormatPr defaultRowHeight="14.45"/>
  <cols>
    <col min="1" max="1" width="27.5703125" customWidth="1"/>
    <col min="2" max="2" width="12.7109375" customWidth="1"/>
    <col min="3" max="3" width="22.7109375" customWidth="1"/>
    <col min="4" max="4" width="13.28515625" customWidth="1"/>
    <col min="5" max="5" width="23.140625" customWidth="1"/>
    <col min="6" max="6" width="13.28515625" customWidth="1"/>
    <col min="7" max="7" width="23.42578125" customWidth="1"/>
  </cols>
  <sheetData>
    <row r="1" spans="1:7" ht="59.25" customHeight="1">
      <c r="A1" s="403" t="s">
        <v>280</v>
      </c>
      <c r="B1" s="403"/>
      <c r="C1" s="403"/>
      <c r="D1" s="403"/>
      <c r="E1" s="403"/>
      <c r="F1" s="403"/>
      <c r="G1" s="403"/>
    </row>
    <row r="2" spans="1:7" ht="16.149999999999999">
      <c r="A2" s="412" t="s">
        <v>162</v>
      </c>
      <c r="B2" s="414" t="s">
        <v>180</v>
      </c>
      <c r="C2" s="414"/>
      <c r="D2" s="414" t="s">
        <v>253</v>
      </c>
      <c r="E2" s="414"/>
      <c r="F2" s="414" t="s">
        <v>199</v>
      </c>
      <c r="G2" s="414"/>
    </row>
    <row r="3" spans="1:7" ht="48.6">
      <c r="A3" s="413"/>
      <c r="B3" s="54" t="s">
        <v>180</v>
      </c>
      <c r="C3" s="56" t="s">
        <v>281</v>
      </c>
      <c r="D3" s="57" t="s">
        <v>180</v>
      </c>
      <c r="E3" s="56" t="s">
        <v>282</v>
      </c>
      <c r="F3" s="57" t="s">
        <v>180</v>
      </c>
      <c r="G3" s="56" t="s">
        <v>283</v>
      </c>
    </row>
    <row r="4" spans="1:7" ht="16.149999999999999">
      <c r="A4" s="58" t="s">
        <v>163</v>
      </c>
      <c r="B4" s="360">
        <v>45640</v>
      </c>
      <c r="C4" s="361">
        <v>21.395323993811875</v>
      </c>
      <c r="D4" s="360">
        <v>3816</v>
      </c>
      <c r="E4" s="361">
        <v>3.4994457376824277</v>
      </c>
      <c r="F4" s="360">
        <v>41734</v>
      </c>
      <c r="G4" s="350">
        <v>40.024244714527271</v>
      </c>
    </row>
    <row r="5" spans="1:7" ht="16.149999999999999">
      <c r="A5" s="61" t="s">
        <v>164</v>
      </c>
      <c r="B5" s="59">
        <v>6054</v>
      </c>
      <c r="C5" s="60">
        <v>32.019951169310012</v>
      </c>
      <c r="D5" s="59">
        <v>461</v>
      </c>
      <c r="E5" s="60">
        <v>4.8985344562488615</v>
      </c>
      <c r="F5" s="59">
        <v>5583</v>
      </c>
      <c r="G5" s="47">
        <v>58.793275136099645</v>
      </c>
    </row>
    <row r="6" spans="1:7" ht="16.149999999999999">
      <c r="A6" s="61" t="s">
        <v>165</v>
      </c>
      <c r="B6" s="59">
        <v>19859</v>
      </c>
      <c r="C6" s="60">
        <v>34.436870379162094</v>
      </c>
      <c r="D6" s="59">
        <v>1427</v>
      </c>
      <c r="E6" s="60">
        <v>4.7991752010373485</v>
      </c>
      <c r="F6" s="59">
        <v>18406</v>
      </c>
      <c r="G6" s="47">
        <v>65.892052593643072</v>
      </c>
    </row>
    <row r="7" spans="1:7" ht="16.149999999999999">
      <c r="A7" s="61" t="s">
        <v>166</v>
      </c>
      <c r="B7" s="59">
        <v>11336</v>
      </c>
      <c r="C7" s="60">
        <v>12.64714014869895</v>
      </c>
      <c r="D7" s="59">
        <v>1076</v>
      </c>
      <c r="E7" s="60">
        <v>2.3410413861523613</v>
      </c>
      <c r="F7" s="59">
        <v>10217</v>
      </c>
      <c r="G7" s="47">
        <v>23.395677000066474</v>
      </c>
    </row>
    <row r="8" spans="1:7" ht="16.149999999999999">
      <c r="A8" s="61" t="s">
        <v>185</v>
      </c>
      <c r="B8" s="59">
        <v>4792</v>
      </c>
      <c r="C8" s="60">
        <v>15.761816584884702</v>
      </c>
      <c r="D8" s="59">
        <v>541</v>
      </c>
      <c r="E8" s="60">
        <v>3.4893745963596596</v>
      </c>
      <c r="F8" s="59">
        <v>4248</v>
      </c>
      <c r="G8" s="47">
        <v>28.513174858789977</v>
      </c>
    </row>
    <row r="9" spans="1:7" ht="16.149999999999999">
      <c r="A9" s="61" t="s">
        <v>168</v>
      </c>
      <c r="B9" s="59">
        <v>3599</v>
      </c>
      <c r="C9" s="60">
        <v>21.541435450870207</v>
      </c>
      <c r="D9" s="59">
        <v>311</v>
      </c>
      <c r="E9" s="60">
        <v>3.6874887656089861</v>
      </c>
      <c r="F9" s="59">
        <v>3280</v>
      </c>
      <c r="G9" s="47">
        <v>39.645070256382731</v>
      </c>
    </row>
    <row r="10" spans="1:7" ht="16.149999999999999">
      <c r="A10" s="26" t="s">
        <v>284</v>
      </c>
      <c r="B10" s="26"/>
      <c r="C10" s="25"/>
      <c r="D10" s="25"/>
      <c r="E10" s="25"/>
      <c r="F10" s="25"/>
      <c r="G10" s="25"/>
    </row>
    <row r="11" spans="1:7" ht="16.149999999999999">
      <c r="A11" s="26" t="s">
        <v>285</v>
      </c>
      <c r="B11" s="26"/>
      <c r="C11" s="25"/>
      <c r="D11" s="25"/>
      <c r="E11" s="25"/>
      <c r="F11" s="25"/>
      <c r="G11" s="25"/>
    </row>
    <row r="12" spans="1:7" ht="16.149999999999999">
      <c r="A12" s="62" t="s">
        <v>286</v>
      </c>
      <c r="B12" s="25"/>
      <c r="C12" s="25"/>
      <c r="D12" s="25"/>
      <c r="E12" s="25"/>
      <c r="F12" s="25"/>
      <c r="G12" s="25"/>
    </row>
  </sheetData>
  <mergeCells count="5">
    <mergeCell ref="A1:G1"/>
    <mergeCell ref="A2:A3"/>
    <mergeCell ref="B2:C2"/>
    <mergeCell ref="D2:E2"/>
    <mergeCell ref="F2:G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E9AB3-74BD-4C26-B36E-F233A76A3FA8}">
  <dimension ref="A1:D16"/>
  <sheetViews>
    <sheetView workbookViewId="0">
      <selection activeCell="D22" sqref="D22"/>
    </sheetView>
  </sheetViews>
  <sheetFormatPr defaultRowHeight="14.45"/>
  <cols>
    <col min="1" max="1" width="37.140625" customWidth="1"/>
    <col min="2" max="2" width="15" customWidth="1"/>
    <col min="3" max="3" width="18.140625" customWidth="1"/>
    <col min="4" max="4" width="18.5703125" customWidth="1"/>
  </cols>
  <sheetData>
    <row r="1" spans="1:4" ht="61.5" customHeight="1">
      <c r="A1" s="415" t="s">
        <v>287</v>
      </c>
      <c r="B1" s="415"/>
      <c r="C1" s="415"/>
      <c r="D1" s="415"/>
    </row>
    <row r="2" spans="1:4" ht="16.149999999999999">
      <c r="A2" s="63" t="s">
        <v>288</v>
      </c>
      <c r="B2" s="63" t="s">
        <v>180</v>
      </c>
      <c r="C2" s="63" t="s">
        <v>253</v>
      </c>
      <c r="D2" s="63" t="s">
        <v>199</v>
      </c>
    </row>
    <row r="3" spans="1:4" ht="16.149999999999999">
      <c r="A3" s="64" t="s">
        <v>289</v>
      </c>
      <c r="B3" s="65">
        <v>1.081392172040109</v>
      </c>
      <c r="C3" s="65">
        <v>1.1002822293556414</v>
      </c>
      <c r="D3" s="65">
        <v>1.0633641412078461</v>
      </c>
    </row>
    <row r="4" spans="1:4" ht="16.149999999999999">
      <c r="A4" s="64" t="s">
        <v>290</v>
      </c>
      <c r="B4" s="65">
        <v>0.40165112651227608</v>
      </c>
      <c r="C4" s="65">
        <v>0.48766031310300068</v>
      </c>
      <c r="D4" s="65">
        <v>0.31947869596250811</v>
      </c>
    </row>
    <row r="5" spans="1:4" ht="16.149999999999999">
      <c r="A5" s="64" t="s">
        <v>291</v>
      </c>
      <c r="B5" s="65">
        <v>1.904806509549942</v>
      </c>
      <c r="C5" s="65">
        <v>0.9912089538278116</v>
      </c>
      <c r="D5" s="65">
        <v>2.7791929838204203</v>
      </c>
    </row>
    <row r="6" spans="1:4" ht="16.149999999999999">
      <c r="A6" s="64" t="s">
        <v>292</v>
      </c>
      <c r="B6" s="65">
        <v>30.799624712078565</v>
      </c>
      <c r="C6" s="65">
        <v>4.4242332980926298</v>
      </c>
      <c r="D6" s="65">
        <v>56.178561123601554</v>
      </c>
    </row>
    <row r="7" spans="1:4" ht="16.149999999999999">
      <c r="A7" s="64" t="s">
        <v>293</v>
      </c>
      <c r="B7" s="65">
        <v>51.460307881312062</v>
      </c>
      <c r="C7" s="65">
        <v>5.9836930118538856</v>
      </c>
      <c r="D7" s="65">
        <v>95.820283118015638</v>
      </c>
    </row>
    <row r="8" spans="1:4" ht="16.149999999999999">
      <c r="A8" s="64" t="s">
        <v>294</v>
      </c>
      <c r="B8" s="65">
        <v>48.879512853195635</v>
      </c>
      <c r="C8" s="65">
        <v>6.4213808932634775</v>
      </c>
      <c r="D8" s="65">
        <v>91.310054225408308</v>
      </c>
    </row>
    <row r="9" spans="1:4" ht="16.149999999999999">
      <c r="A9" s="64" t="s">
        <v>295</v>
      </c>
      <c r="B9" s="65">
        <v>32.510801493418604</v>
      </c>
      <c r="C9" s="65">
        <v>5.4479045139722606</v>
      </c>
      <c r="D9" s="65">
        <v>60.266309329766273</v>
      </c>
    </row>
    <row r="10" spans="1:4" ht="16.149999999999999">
      <c r="A10" s="64" t="s">
        <v>296</v>
      </c>
      <c r="B10" s="65">
        <v>22.33806710102132</v>
      </c>
      <c r="C10" s="65">
        <v>4.3683286437086011</v>
      </c>
      <c r="D10" s="65">
        <v>41.492150474138661</v>
      </c>
    </row>
    <row r="11" spans="1:4" ht="16.149999999999999">
      <c r="A11" s="64" t="s">
        <v>297</v>
      </c>
      <c r="B11" s="65">
        <v>12.222015175104918</v>
      </c>
      <c r="C11" s="65">
        <v>2.5567753603007839</v>
      </c>
      <c r="D11" s="65">
        <v>22.883410369230813</v>
      </c>
    </row>
    <row r="12" spans="1:4" ht="16.149999999999999">
      <c r="A12" s="64" t="s">
        <v>298</v>
      </c>
      <c r="B12" s="65">
        <v>7.5220147574875851</v>
      </c>
      <c r="C12" s="65">
        <v>1.65782262859436</v>
      </c>
      <c r="D12" s="65">
        <v>14.421833598971093</v>
      </c>
    </row>
    <row r="13" spans="1:4" ht="16.149999999999999">
      <c r="A13" s="64" t="s">
        <v>299</v>
      </c>
      <c r="B13" s="65">
        <v>4.8167665658827143</v>
      </c>
      <c r="C13" s="65">
        <v>1.5300840224219736</v>
      </c>
      <c r="D13" s="65">
        <v>9.3949947355632943</v>
      </c>
    </row>
    <row r="14" spans="1:4" ht="16.149999999999999">
      <c r="A14" s="26" t="s">
        <v>284</v>
      </c>
      <c r="B14" s="25"/>
      <c r="C14" s="25"/>
      <c r="D14" s="25"/>
    </row>
    <row r="15" spans="1:4" ht="16.149999999999999">
      <c r="A15" s="26" t="s">
        <v>285</v>
      </c>
      <c r="B15" s="25"/>
      <c r="C15" s="25"/>
      <c r="D15" s="25"/>
    </row>
    <row r="16" spans="1:4" ht="16.149999999999999">
      <c r="A16" s="62" t="s">
        <v>286</v>
      </c>
      <c r="B16" s="66"/>
      <c r="C16" s="66"/>
      <c r="D16" s="66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workbookViewId="0">
      <selection activeCell="B16" sqref="B16"/>
    </sheetView>
  </sheetViews>
  <sheetFormatPr defaultRowHeight="14.45"/>
  <cols>
    <col min="1" max="1" width="26.28515625" customWidth="1"/>
    <col min="2" max="11" width="13.7109375" customWidth="1"/>
    <col min="12" max="12" width="11.28515625" customWidth="1"/>
  </cols>
  <sheetData>
    <row r="1" spans="1:12" ht="42.75" customHeight="1">
      <c r="A1" s="1" t="s">
        <v>161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ht="16.149999999999999">
      <c r="A2" s="3" t="s">
        <v>162</v>
      </c>
      <c r="B2" s="4">
        <v>2013</v>
      </c>
      <c r="C2" s="4">
        <v>2014</v>
      </c>
      <c r="D2" s="4">
        <v>2015</v>
      </c>
      <c r="E2" s="4">
        <v>2016</v>
      </c>
      <c r="F2" s="4">
        <v>2017</v>
      </c>
      <c r="G2" s="4">
        <v>2018</v>
      </c>
      <c r="H2" s="4">
        <v>2019</v>
      </c>
      <c r="I2" s="4">
        <v>2020</v>
      </c>
      <c r="J2" s="4">
        <v>2021</v>
      </c>
      <c r="K2" s="4">
        <v>2022</v>
      </c>
      <c r="L2" s="4">
        <v>2023</v>
      </c>
    </row>
    <row r="3" spans="1:12" ht="16.149999999999999">
      <c r="A3" s="358" t="s">
        <v>163</v>
      </c>
      <c r="B3" s="359">
        <v>159897</v>
      </c>
      <c r="C3" s="359">
        <v>165593</v>
      </c>
      <c r="D3" s="359">
        <v>185250</v>
      </c>
      <c r="E3" s="359">
        <v>195136</v>
      </c>
      <c r="F3" s="359">
        <v>234650</v>
      </c>
      <c r="G3" s="359">
        <v>260304</v>
      </c>
      <c r="H3" s="359">
        <v>277240</v>
      </c>
      <c r="I3" s="359">
        <v>228094</v>
      </c>
      <c r="J3" s="359">
        <v>256634</v>
      </c>
      <c r="K3" s="359">
        <v>296520</v>
      </c>
      <c r="L3" s="359">
        <v>429379</v>
      </c>
    </row>
    <row r="4" spans="1:12" ht="16.149999999999999">
      <c r="A4" s="4" t="s">
        <v>164</v>
      </c>
      <c r="B4" s="5">
        <v>11184</v>
      </c>
      <c r="C4" s="5">
        <v>11328</v>
      </c>
      <c r="D4" s="5">
        <v>12880</v>
      </c>
      <c r="E4" s="5">
        <v>14894</v>
      </c>
      <c r="F4" s="5">
        <v>14767</v>
      </c>
      <c r="G4" s="5">
        <v>15989</v>
      </c>
      <c r="H4" s="5">
        <v>18393</v>
      </c>
      <c r="I4" s="5">
        <v>18211</v>
      </c>
      <c r="J4" s="5">
        <v>19547</v>
      </c>
      <c r="K4" s="5">
        <v>22539</v>
      </c>
      <c r="L4" s="5">
        <v>29482</v>
      </c>
    </row>
    <row r="5" spans="1:12" ht="16.149999999999999">
      <c r="A5" s="4" t="s">
        <v>165</v>
      </c>
      <c r="B5" s="5">
        <v>31604</v>
      </c>
      <c r="C5" s="5">
        <v>28915</v>
      </c>
      <c r="D5" s="5">
        <v>30676</v>
      </c>
      <c r="E5" s="5">
        <v>31357</v>
      </c>
      <c r="F5" s="5">
        <v>38205</v>
      </c>
      <c r="G5" s="5">
        <v>43820</v>
      </c>
      <c r="H5" s="5">
        <v>45664</v>
      </c>
      <c r="I5" s="5">
        <v>37374</v>
      </c>
      <c r="J5" s="5">
        <v>45421</v>
      </c>
      <c r="K5" s="5">
        <v>53684</v>
      </c>
      <c r="L5" s="5">
        <v>81529</v>
      </c>
    </row>
    <row r="6" spans="1:12" ht="16.149999999999999">
      <c r="A6" s="4" t="s">
        <v>166</v>
      </c>
      <c r="B6" s="5">
        <v>72108</v>
      </c>
      <c r="C6" s="5">
        <v>75898</v>
      </c>
      <c r="D6" s="5">
        <v>89796</v>
      </c>
      <c r="E6" s="5">
        <v>97664</v>
      </c>
      <c r="F6" s="5">
        <v>122516</v>
      </c>
      <c r="G6" s="5">
        <v>133237</v>
      </c>
      <c r="H6" s="5">
        <v>139686</v>
      </c>
      <c r="I6" s="5">
        <v>112398</v>
      </c>
      <c r="J6" s="5">
        <v>128183</v>
      </c>
      <c r="K6" s="5">
        <v>147557</v>
      </c>
      <c r="L6" s="5">
        <v>214771</v>
      </c>
    </row>
    <row r="7" spans="1:12" ht="16.149999999999999">
      <c r="A7" s="4" t="s">
        <v>167</v>
      </c>
      <c r="B7" s="5">
        <v>31361</v>
      </c>
      <c r="C7" s="5">
        <v>35780</v>
      </c>
      <c r="D7" s="5">
        <v>38119</v>
      </c>
      <c r="E7" s="5">
        <v>37435</v>
      </c>
      <c r="F7" s="5">
        <v>43582</v>
      </c>
      <c r="G7" s="5">
        <v>49796</v>
      </c>
      <c r="H7" s="5">
        <v>54387</v>
      </c>
      <c r="I7" s="5">
        <v>43000</v>
      </c>
      <c r="J7" s="5">
        <v>44517</v>
      </c>
      <c r="K7" s="5">
        <v>50789</v>
      </c>
      <c r="L7" s="5">
        <v>71399</v>
      </c>
    </row>
    <row r="8" spans="1:12" ht="16.149999999999999">
      <c r="A8" s="4" t="s">
        <v>168</v>
      </c>
      <c r="B8" s="5">
        <v>13640</v>
      </c>
      <c r="C8" s="5">
        <v>13672</v>
      </c>
      <c r="D8" s="5">
        <v>13779</v>
      </c>
      <c r="E8" s="5">
        <v>13786</v>
      </c>
      <c r="F8" s="5">
        <v>15580</v>
      </c>
      <c r="G8" s="5">
        <v>17462</v>
      </c>
      <c r="H8" s="5">
        <v>19110</v>
      </c>
      <c r="I8" s="5">
        <v>17111</v>
      </c>
      <c r="J8" s="5">
        <v>18966</v>
      </c>
      <c r="K8" s="5">
        <v>21951</v>
      </c>
      <c r="L8" s="5">
        <v>32198</v>
      </c>
    </row>
    <row r="9" spans="1:12">
      <c r="A9" s="6" t="s">
        <v>169</v>
      </c>
      <c r="B9" s="7"/>
      <c r="C9" s="7"/>
      <c r="D9" s="7"/>
      <c r="E9" s="7"/>
      <c r="F9" s="7"/>
      <c r="G9" s="7"/>
      <c r="H9" s="7"/>
      <c r="I9" s="7"/>
      <c r="J9" s="7"/>
      <c r="K9" s="7"/>
    </row>
    <row r="10" spans="1:12">
      <c r="A10" s="8" t="s">
        <v>170</v>
      </c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1:12" ht="38.450000000000003" customHeight="1">
      <c r="A11" s="396" t="s">
        <v>171</v>
      </c>
      <c r="B11" s="396"/>
      <c r="C11" s="396"/>
      <c r="D11" s="396"/>
      <c r="E11" s="396"/>
      <c r="F11" s="396"/>
      <c r="G11" s="396"/>
      <c r="H11" s="396"/>
      <c r="I11" s="396"/>
      <c r="J11" s="396"/>
      <c r="K11" s="396"/>
      <c r="L11" s="396"/>
    </row>
    <row r="13" spans="1:12">
      <c r="G13" s="390"/>
      <c r="H13" s="390"/>
      <c r="I13" s="390"/>
    </row>
    <row r="14" spans="1:12">
      <c r="G14" s="390"/>
      <c r="H14" s="390"/>
      <c r="I14" s="390"/>
    </row>
    <row r="15" spans="1:12">
      <c r="G15" s="390"/>
      <c r="H15" s="391"/>
      <c r="I15" s="390"/>
    </row>
    <row r="16" spans="1:12">
      <c r="G16" s="390"/>
      <c r="H16" s="390"/>
      <c r="I16" s="390"/>
    </row>
  </sheetData>
  <mergeCells count="1">
    <mergeCell ref="A11:L1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A7A62-DF72-410C-BE52-E19D9CB18E7A}">
  <dimension ref="A1:D12"/>
  <sheetViews>
    <sheetView workbookViewId="0">
      <selection activeCell="A12" sqref="A12"/>
    </sheetView>
  </sheetViews>
  <sheetFormatPr defaultRowHeight="14.45"/>
  <cols>
    <col min="1" max="3" width="32.28515625" customWidth="1"/>
    <col min="4" max="4" width="15.42578125" customWidth="1"/>
  </cols>
  <sheetData>
    <row r="1" spans="1:4" ht="57.6" customHeight="1">
      <c r="A1" s="416" t="s">
        <v>300</v>
      </c>
      <c r="B1" s="416"/>
      <c r="C1" s="416"/>
      <c r="D1" s="25"/>
    </row>
    <row r="2" spans="1:4" ht="16.149999999999999">
      <c r="A2" s="63" t="s">
        <v>201</v>
      </c>
      <c r="B2" s="67" t="s">
        <v>253</v>
      </c>
      <c r="C2" s="63" t="s">
        <v>184</v>
      </c>
    </row>
    <row r="3" spans="1:4" ht="16.149999999999999">
      <c r="A3" s="362" t="s">
        <v>180</v>
      </c>
      <c r="B3" s="363">
        <v>3816</v>
      </c>
      <c r="C3" s="364">
        <v>100</v>
      </c>
    </row>
    <row r="4" spans="1:4" ht="16.149999999999999">
      <c r="A4" s="68" t="s">
        <v>204</v>
      </c>
      <c r="B4" s="69">
        <v>7</v>
      </c>
      <c r="C4" s="70">
        <v>0.18343815513626835</v>
      </c>
    </row>
    <row r="5" spans="1:4" ht="16.149999999999999">
      <c r="A5" s="68" t="s">
        <v>202</v>
      </c>
      <c r="B5" s="69">
        <v>1145</v>
      </c>
      <c r="C5" s="70">
        <v>30.00524109014675</v>
      </c>
    </row>
    <row r="6" spans="1:4" ht="16.149999999999999">
      <c r="A6" s="68" t="s">
        <v>206</v>
      </c>
      <c r="B6" s="69">
        <v>32</v>
      </c>
      <c r="C6" s="70">
        <v>0.83857442348008393</v>
      </c>
    </row>
    <row r="7" spans="1:4" ht="16.149999999999999">
      <c r="A7" s="68" t="s">
        <v>205</v>
      </c>
      <c r="B7" s="69">
        <v>2302</v>
      </c>
      <c r="C7" s="70">
        <v>60.324947589098535</v>
      </c>
    </row>
    <row r="8" spans="1:4" ht="16.149999999999999">
      <c r="A8" s="68" t="s">
        <v>203</v>
      </c>
      <c r="B8" s="69">
        <v>295</v>
      </c>
      <c r="C8" s="70">
        <v>7.7306079664570229</v>
      </c>
    </row>
    <row r="9" spans="1:4" ht="16.149999999999999">
      <c r="A9" s="68" t="s">
        <v>301</v>
      </c>
      <c r="B9" s="69">
        <v>35</v>
      </c>
      <c r="C9" s="70" t="s">
        <v>195</v>
      </c>
    </row>
    <row r="10" spans="1:4" ht="16.149999999999999">
      <c r="A10" s="24" t="s">
        <v>302</v>
      </c>
      <c r="B10" s="25"/>
      <c r="C10" s="25"/>
      <c r="D10" s="25"/>
    </row>
    <row r="11" spans="1:4" ht="16.149999999999999">
      <c r="A11" s="26" t="s">
        <v>285</v>
      </c>
      <c r="B11" s="25"/>
      <c r="C11" s="25"/>
      <c r="D11" s="25"/>
    </row>
    <row r="12" spans="1:4" ht="16.149999999999999">
      <c r="A12" s="62" t="s">
        <v>303</v>
      </c>
      <c r="B12" s="25"/>
      <c r="C12" s="25"/>
      <c r="D12" s="25"/>
    </row>
  </sheetData>
  <mergeCells count="1">
    <mergeCell ref="A1:C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DD375-F41E-4E17-ABBC-A1AFDC1F08B4}">
  <dimension ref="A1:F13"/>
  <sheetViews>
    <sheetView workbookViewId="0">
      <selection activeCell="F5" sqref="F5"/>
    </sheetView>
  </sheetViews>
  <sheetFormatPr defaultRowHeight="14.45"/>
  <cols>
    <col min="1" max="1" width="18.140625" customWidth="1"/>
    <col min="2" max="3" width="15.5703125" customWidth="1"/>
    <col min="4" max="5" width="17.28515625" customWidth="1"/>
    <col min="6" max="6" width="27.28515625" customWidth="1"/>
  </cols>
  <sheetData>
    <row r="1" spans="1:6" ht="73.5" customHeight="1">
      <c r="A1" s="403" t="s">
        <v>304</v>
      </c>
      <c r="B1" s="403"/>
      <c r="C1" s="403"/>
      <c r="D1" s="403"/>
      <c r="E1" s="403"/>
      <c r="F1" s="403"/>
    </row>
    <row r="2" spans="1:6" ht="51.6" customHeight="1">
      <c r="A2" s="402" t="s">
        <v>173</v>
      </c>
      <c r="B2" s="409" t="s">
        <v>305</v>
      </c>
      <c r="C2" s="409"/>
      <c r="D2" s="417" t="s">
        <v>306</v>
      </c>
      <c r="E2" s="417"/>
      <c r="F2" s="53" t="s">
        <v>307</v>
      </c>
    </row>
    <row r="3" spans="1:6" ht="16.149999999999999">
      <c r="A3" s="402"/>
      <c r="B3" s="71">
        <v>2012</v>
      </c>
      <c r="C3" s="71">
        <v>2023</v>
      </c>
      <c r="D3" s="71">
        <v>2012</v>
      </c>
      <c r="E3" s="71">
        <v>2023</v>
      </c>
      <c r="F3" s="71" t="s">
        <v>308</v>
      </c>
    </row>
    <row r="4" spans="1:6" ht="16.149999999999999">
      <c r="A4" s="291" t="s">
        <v>180</v>
      </c>
      <c r="B4" s="365">
        <v>58163</v>
      </c>
      <c r="C4" s="365">
        <v>45640</v>
      </c>
      <c r="D4" s="292">
        <v>29.328603160062567</v>
      </c>
      <c r="E4" s="292">
        <v>21.395323993811875</v>
      </c>
      <c r="F4" s="292">
        <v>-27.049631797853984</v>
      </c>
    </row>
    <row r="5" spans="1:6" ht="16.149999999999999">
      <c r="A5" s="73" t="s">
        <v>192</v>
      </c>
      <c r="B5" s="59">
        <v>4799</v>
      </c>
      <c r="C5" s="59">
        <v>3816</v>
      </c>
      <c r="D5" s="47">
        <v>4.7428955767878405</v>
      </c>
      <c r="E5" s="47">
        <v>3.4994457376824277</v>
      </c>
      <c r="F5" s="47">
        <v>-26.217103433416678</v>
      </c>
    </row>
    <row r="6" spans="1:6" ht="16.149999999999999">
      <c r="A6" s="73" t="s">
        <v>191</v>
      </c>
      <c r="B6" s="59">
        <v>53289</v>
      </c>
      <c r="C6" s="59">
        <v>41734</v>
      </c>
      <c r="D6" s="47">
        <v>54.862444483934802</v>
      </c>
      <c r="E6" s="47">
        <v>40.024244714527271</v>
      </c>
      <c r="F6" s="47">
        <v>-27.046187804760603</v>
      </c>
    </row>
    <row r="7" spans="1:6" ht="15.6">
      <c r="A7" s="24" t="s">
        <v>284</v>
      </c>
      <c r="B7" s="24"/>
      <c r="C7" s="24"/>
      <c r="D7" s="74"/>
      <c r="E7" s="74"/>
      <c r="F7" s="74"/>
    </row>
    <row r="8" spans="1:6" ht="15.6">
      <c r="A8" s="26" t="s">
        <v>285</v>
      </c>
      <c r="B8" s="26"/>
      <c r="C8" s="26"/>
      <c r="D8" s="74"/>
      <c r="E8" s="74"/>
      <c r="F8" s="74"/>
    </row>
    <row r="9" spans="1:6">
      <c r="A9" s="62" t="s">
        <v>286</v>
      </c>
    </row>
    <row r="13" spans="1:6">
      <c r="D13" s="163"/>
    </row>
  </sheetData>
  <mergeCells count="4">
    <mergeCell ref="A1:F1"/>
    <mergeCell ref="A2:A3"/>
    <mergeCell ref="B2:C2"/>
    <mergeCell ref="D2:E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76650-1889-4A4B-8D27-5B534B34274C}">
  <dimension ref="A1:E16"/>
  <sheetViews>
    <sheetView workbookViewId="0">
      <selection sqref="A1:B1"/>
    </sheetView>
  </sheetViews>
  <sheetFormatPr defaultRowHeight="14.45"/>
  <cols>
    <col min="1" max="1" width="20.5703125" customWidth="1"/>
    <col min="2" max="2" width="21.140625" customWidth="1"/>
  </cols>
  <sheetData>
    <row r="1" spans="1:5" ht="57.75" customHeight="1">
      <c r="A1" s="418" t="s">
        <v>309</v>
      </c>
      <c r="B1" s="419"/>
      <c r="C1" s="190"/>
      <c r="D1" s="190"/>
      <c r="E1" s="190"/>
    </row>
    <row r="2" spans="1:5" ht="16.149999999999999">
      <c r="A2" s="55" t="s">
        <v>310</v>
      </c>
      <c r="B2" s="55" t="s">
        <v>180</v>
      </c>
    </row>
    <row r="3" spans="1:5" ht="16.149999999999999">
      <c r="A3" s="366">
        <v>2024</v>
      </c>
      <c r="B3" s="387">
        <v>1450</v>
      </c>
    </row>
    <row r="4" spans="1:5" ht="16.149999999999999">
      <c r="A4" s="75">
        <v>2023</v>
      </c>
      <c r="B4" s="241">
        <v>1438</v>
      </c>
    </row>
    <row r="5" spans="1:5" ht="16.149999999999999">
      <c r="A5" s="75">
        <v>2022</v>
      </c>
      <c r="B5" s="241">
        <v>1443</v>
      </c>
    </row>
    <row r="6" spans="1:5" ht="16.149999999999999">
      <c r="A6" s="75">
        <v>2021</v>
      </c>
      <c r="B6" s="241">
        <v>1351</v>
      </c>
    </row>
    <row r="7" spans="1:5" ht="16.149999999999999">
      <c r="A7" s="75">
        <v>2020</v>
      </c>
      <c r="B7" s="241">
        <v>1344</v>
      </c>
    </row>
    <row r="8" spans="1:5" ht="16.149999999999999">
      <c r="A8" s="75">
        <v>2019</v>
      </c>
      <c r="B8" s="241">
        <v>1318</v>
      </c>
    </row>
    <row r="9" spans="1:5" ht="16.149999999999999">
      <c r="A9" s="75">
        <v>2018</v>
      </c>
      <c r="B9" s="241">
        <v>1157</v>
      </c>
    </row>
    <row r="10" spans="1:5" ht="16.149999999999999">
      <c r="A10" s="75">
        <v>2017</v>
      </c>
      <c r="B10" s="241">
        <v>960</v>
      </c>
    </row>
    <row r="11" spans="1:5" ht="16.149999999999999">
      <c r="A11" s="75">
        <v>2016</v>
      </c>
      <c r="B11" s="241">
        <v>662</v>
      </c>
    </row>
    <row r="12" spans="1:5" ht="16.149999999999999">
      <c r="A12" s="75">
        <v>2015</v>
      </c>
      <c r="B12" s="241">
        <v>527</v>
      </c>
    </row>
    <row r="13" spans="1:5">
      <c r="A13" s="24" t="s">
        <v>311</v>
      </c>
      <c r="B13" s="62"/>
      <c r="C13" s="62"/>
      <c r="D13" s="62"/>
    </row>
    <row r="14" spans="1:5" ht="14.45" customHeight="1">
      <c r="A14" s="24" t="s">
        <v>312</v>
      </c>
      <c r="B14" s="62"/>
      <c r="C14" s="62"/>
      <c r="D14" s="62"/>
    </row>
    <row r="15" spans="1:5">
      <c r="A15" s="109" t="s">
        <v>313</v>
      </c>
    </row>
    <row r="16" spans="1:5">
      <c r="A16" s="109" t="s">
        <v>314</v>
      </c>
    </row>
  </sheetData>
  <mergeCells count="1">
    <mergeCell ref="A1:B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6C03E-1071-48C6-B8A4-4E6DE41B9EFB}">
  <dimension ref="A1:F74"/>
  <sheetViews>
    <sheetView topLeftCell="A45" zoomScale="85" zoomScaleNormal="85" workbookViewId="0">
      <selection activeCell="B44" sqref="B44"/>
    </sheetView>
  </sheetViews>
  <sheetFormatPr defaultRowHeight="14.45"/>
  <cols>
    <col min="1" max="1" width="33.5703125" customWidth="1"/>
    <col min="2" max="2" width="18.42578125" customWidth="1"/>
    <col min="3" max="3" width="32.28515625" customWidth="1"/>
    <col min="4" max="4" width="37" customWidth="1"/>
    <col min="6" max="6" width="11.28515625" bestFit="1" customWidth="1"/>
  </cols>
  <sheetData>
    <row r="1" spans="1:6" ht="54" customHeight="1">
      <c r="A1" s="415" t="s">
        <v>315</v>
      </c>
      <c r="B1" s="415"/>
      <c r="C1" s="415"/>
      <c r="D1" s="415"/>
    </row>
    <row r="2" spans="1:6" ht="16.149999999999999">
      <c r="A2" s="71" t="s">
        <v>316</v>
      </c>
      <c r="B2" s="77" t="s">
        <v>180</v>
      </c>
      <c r="C2" s="78" t="s">
        <v>317</v>
      </c>
      <c r="D2" s="28" t="s">
        <v>318</v>
      </c>
    </row>
    <row r="3" spans="1:6" ht="16.149999999999999">
      <c r="A3" s="79" t="s">
        <v>163</v>
      </c>
      <c r="B3" s="101">
        <f>SUM(B4:B30)</f>
        <v>1450</v>
      </c>
      <c r="C3" s="17">
        <v>108921464</v>
      </c>
      <c r="D3" s="81">
        <f t="shared" ref="D3:D30" si="0">(B3/C3)*100000</f>
        <v>1.3312344020642248</v>
      </c>
      <c r="F3" s="146"/>
    </row>
    <row r="4" spans="1:6" ht="16.149999999999999">
      <c r="A4" s="82" t="s">
        <v>319</v>
      </c>
      <c r="B4" s="10">
        <v>8</v>
      </c>
      <c r="C4" s="22">
        <v>438884</v>
      </c>
      <c r="D4" s="378">
        <f t="shared" si="0"/>
        <v>1.8228051147911521</v>
      </c>
    </row>
    <row r="5" spans="1:6" ht="16.149999999999999">
      <c r="A5" s="82" t="s">
        <v>320</v>
      </c>
      <c r="B5" s="10">
        <v>21</v>
      </c>
      <c r="C5" s="22">
        <v>1667559</v>
      </c>
      <c r="D5" s="378">
        <f t="shared" si="0"/>
        <v>1.2593257569897076</v>
      </c>
    </row>
    <row r="6" spans="1:6" ht="16.149999999999999">
      <c r="A6" s="82" t="s">
        <v>321</v>
      </c>
      <c r="B6" s="10">
        <v>2</v>
      </c>
      <c r="C6" s="22">
        <v>401255</v>
      </c>
      <c r="D6" s="378">
        <f t="shared" si="0"/>
        <v>0.49843615655879675</v>
      </c>
    </row>
    <row r="7" spans="1:6" ht="16.149999999999999">
      <c r="A7" s="82" t="s">
        <v>322</v>
      </c>
      <c r="B7" s="10">
        <v>30</v>
      </c>
      <c r="C7" s="22">
        <v>2129205</v>
      </c>
      <c r="D7" s="378">
        <f t="shared" si="0"/>
        <v>1.4089765898539595</v>
      </c>
    </row>
    <row r="8" spans="1:6" ht="16.149999999999999">
      <c r="A8" s="82" t="s">
        <v>323</v>
      </c>
      <c r="B8" s="10">
        <v>106</v>
      </c>
      <c r="C8" s="22">
        <v>7632196</v>
      </c>
      <c r="D8" s="378">
        <f t="shared" si="0"/>
        <v>1.3888532212747156</v>
      </c>
    </row>
    <row r="9" spans="1:6" ht="16.149999999999999">
      <c r="A9" s="82" t="s">
        <v>324</v>
      </c>
      <c r="B9" s="10">
        <v>41</v>
      </c>
      <c r="C9" s="22">
        <v>4749310</v>
      </c>
      <c r="D9" s="378">
        <f t="shared" si="0"/>
        <v>0.86328329799486669</v>
      </c>
    </row>
    <row r="10" spans="1:6" ht="16.149999999999999">
      <c r="A10" s="82" t="s">
        <v>325</v>
      </c>
      <c r="B10" s="10">
        <v>23</v>
      </c>
      <c r="C10" s="22">
        <v>1557961</v>
      </c>
      <c r="D10" s="378">
        <f t="shared" si="0"/>
        <v>1.4762885592129713</v>
      </c>
    </row>
    <row r="11" spans="1:6" ht="16.149999999999999">
      <c r="A11" s="82" t="s">
        <v>326</v>
      </c>
      <c r="B11" s="10">
        <v>39</v>
      </c>
      <c r="C11" s="22">
        <v>2092956</v>
      </c>
      <c r="D11" s="378">
        <f t="shared" si="0"/>
        <v>1.8633932103684931</v>
      </c>
    </row>
    <row r="12" spans="1:6" ht="16.149999999999999">
      <c r="A12" s="82" t="s">
        <v>327</v>
      </c>
      <c r="B12" s="71">
        <v>55</v>
      </c>
      <c r="C12" s="22">
        <v>3721543</v>
      </c>
      <c r="D12" s="378">
        <f t="shared" si="0"/>
        <v>1.4778816206073664</v>
      </c>
    </row>
    <row r="13" spans="1:6" ht="16.149999999999999">
      <c r="A13" s="82" t="s">
        <v>328</v>
      </c>
      <c r="B13" s="10">
        <v>69</v>
      </c>
      <c r="C13" s="22">
        <v>3553820</v>
      </c>
      <c r="D13" s="378">
        <f t="shared" si="0"/>
        <v>1.9415727301889236</v>
      </c>
    </row>
    <row r="14" spans="1:6" ht="16.149999999999999">
      <c r="A14" s="82" t="s">
        <v>329</v>
      </c>
      <c r="B14" s="71">
        <v>47</v>
      </c>
      <c r="C14" s="22">
        <v>1904239</v>
      </c>
      <c r="D14" s="378">
        <f t="shared" si="0"/>
        <v>2.4681775764491749</v>
      </c>
    </row>
    <row r="15" spans="1:6" ht="16.149999999999999">
      <c r="A15" s="82" t="s">
        <v>330</v>
      </c>
      <c r="B15" s="71">
        <v>35</v>
      </c>
      <c r="C15" s="22">
        <v>1464566</v>
      </c>
      <c r="D15" s="378">
        <f t="shared" si="0"/>
        <v>2.3897864623376481</v>
      </c>
    </row>
    <row r="16" spans="1:6" ht="16.149999999999999">
      <c r="A16" s="82" t="s">
        <v>331</v>
      </c>
      <c r="B16" s="71">
        <v>133</v>
      </c>
      <c r="C16" s="22">
        <v>10866275</v>
      </c>
      <c r="D16" s="378">
        <f t="shared" si="0"/>
        <v>1.2239704958690996</v>
      </c>
    </row>
    <row r="17" spans="1:4" ht="16.149999999999999">
      <c r="A17" s="82" t="s">
        <v>332</v>
      </c>
      <c r="B17" s="10">
        <v>50</v>
      </c>
      <c r="C17" s="22">
        <v>4313795</v>
      </c>
      <c r="D17" s="378">
        <f t="shared" si="0"/>
        <v>1.1590722322224398</v>
      </c>
    </row>
    <row r="18" spans="1:4" ht="16.149999999999999">
      <c r="A18" s="82" t="s">
        <v>333</v>
      </c>
      <c r="B18" s="10">
        <v>25</v>
      </c>
      <c r="C18" s="22">
        <v>2138409</v>
      </c>
      <c r="D18" s="378">
        <f t="shared" si="0"/>
        <v>1.1690934708935474</v>
      </c>
    </row>
    <row r="19" spans="1:4" ht="16.149999999999999">
      <c r="A19" s="82" t="s">
        <v>334</v>
      </c>
      <c r="B19" s="10">
        <v>109</v>
      </c>
      <c r="C19" s="22">
        <v>6046638</v>
      </c>
      <c r="D19" s="378">
        <f t="shared" si="0"/>
        <v>1.8026546322104946</v>
      </c>
    </row>
    <row r="20" spans="1:4" ht="16.149999999999999">
      <c r="A20" s="82" t="s">
        <v>335</v>
      </c>
      <c r="B20" s="10">
        <v>77</v>
      </c>
      <c r="C20" s="22">
        <v>4956611</v>
      </c>
      <c r="D20" s="378">
        <f t="shared" si="0"/>
        <v>1.5534807956484784</v>
      </c>
    </row>
    <row r="21" spans="1:4" ht="16.149999999999999">
      <c r="A21" s="82" t="s">
        <v>336</v>
      </c>
      <c r="B21" s="10">
        <v>40</v>
      </c>
      <c r="C21" s="22">
        <v>1724357</v>
      </c>
      <c r="D21" s="378">
        <f t="shared" si="0"/>
        <v>2.3197052582498867</v>
      </c>
    </row>
    <row r="22" spans="1:4" ht="16.149999999999999">
      <c r="A22" s="82" t="s">
        <v>337</v>
      </c>
      <c r="B22" s="10">
        <v>104</v>
      </c>
      <c r="C22" s="22">
        <v>9035062</v>
      </c>
      <c r="D22" s="378">
        <f t="shared" si="0"/>
        <v>1.1510712378066692</v>
      </c>
    </row>
    <row r="23" spans="1:4" ht="16.149999999999999">
      <c r="A23" s="82" t="s">
        <v>338</v>
      </c>
      <c r="B23" s="10">
        <v>19</v>
      </c>
      <c r="C23" s="22">
        <v>1768102</v>
      </c>
      <c r="D23" s="378">
        <f t="shared" si="0"/>
        <v>1.0745986374089278</v>
      </c>
    </row>
    <row r="24" spans="1:4" ht="16.149999999999999">
      <c r="A24" s="82" t="s">
        <v>339</v>
      </c>
      <c r="B24" s="10">
        <v>72</v>
      </c>
      <c r="C24" s="22">
        <v>5778778</v>
      </c>
      <c r="D24" s="378">
        <f t="shared" si="0"/>
        <v>1.2459381550909208</v>
      </c>
    </row>
    <row r="25" spans="1:4" ht="16.149999999999999">
      <c r="A25" s="82" t="s">
        <v>340</v>
      </c>
      <c r="B25" s="10">
        <v>14</v>
      </c>
      <c r="C25" s="22">
        <v>868133</v>
      </c>
      <c r="D25" s="378">
        <f t="shared" si="0"/>
        <v>1.612656125271128</v>
      </c>
    </row>
    <row r="26" spans="1:4" ht="16.149999999999999">
      <c r="A26" s="82" t="s">
        <v>341</v>
      </c>
      <c r="B26" s="10">
        <v>7</v>
      </c>
      <c r="C26" s="22">
        <v>352946</v>
      </c>
      <c r="D26" s="378">
        <f t="shared" si="0"/>
        <v>1.9833062281482154</v>
      </c>
    </row>
    <row r="27" spans="1:4" ht="16.149999999999999">
      <c r="A27" s="82" t="s">
        <v>342</v>
      </c>
      <c r="B27" s="10">
        <v>51</v>
      </c>
      <c r="C27" s="22">
        <v>4071859</v>
      </c>
      <c r="D27" s="378">
        <f t="shared" si="0"/>
        <v>1.2524991656145266</v>
      </c>
    </row>
    <row r="28" spans="1:4" ht="16.149999999999999">
      <c r="A28" s="82" t="s">
        <v>343</v>
      </c>
      <c r="B28" s="10">
        <v>251</v>
      </c>
      <c r="C28" s="22">
        <v>23715051</v>
      </c>
      <c r="D28" s="378">
        <f t="shared" si="0"/>
        <v>1.0583995792376748</v>
      </c>
    </row>
    <row r="29" spans="1:4" ht="16.149999999999999">
      <c r="A29" s="82" t="s">
        <v>344</v>
      </c>
      <c r="B29" s="10">
        <v>10</v>
      </c>
      <c r="C29" s="22">
        <v>1188432</v>
      </c>
      <c r="D29" s="378">
        <f t="shared" si="0"/>
        <v>0.8414448618010959</v>
      </c>
    </row>
    <row r="30" spans="1:4" ht="16.149999999999999">
      <c r="A30" s="82" t="s">
        <v>345</v>
      </c>
      <c r="B30" s="10">
        <v>12</v>
      </c>
      <c r="C30" s="22">
        <v>783522</v>
      </c>
      <c r="D30" s="378">
        <f t="shared" si="0"/>
        <v>1.5315460191290098</v>
      </c>
    </row>
    <row r="31" spans="1:4">
      <c r="A31" s="24" t="s">
        <v>346</v>
      </c>
      <c r="B31" s="62"/>
      <c r="C31" s="62"/>
      <c r="D31" s="62"/>
    </row>
    <row r="32" spans="1:4">
      <c r="A32" s="396" t="s">
        <v>312</v>
      </c>
      <c r="B32" s="421"/>
      <c r="C32" s="421"/>
      <c r="D32" s="421"/>
    </row>
    <row r="33" spans="1:4" ht="15" customHeight="1">
      <c r="A33" s="109" t="s">
        <v>313</v>
      </c>
      <c r="D33" s="386"/>
    </row>
    <row r="34" spans="1:4" ht="14.45" customHeight="1">
      <c r="A34" s="109" t="s">
        <v>314</v>
      </c>
    </row>
    <row r="41" spans="1:4" ht="48.75" customHeight="1">
      <c r="A41" s="415" t="s">
        <v>347</v>
      </c>
      <c r="B41" s="415"/>
      <c r="C41" s="415"/>
      <c r="D41" s="415"/>
    </row>
    <row r="42" spans="1:4" ht="16.149999999999999">
      <c r="A42" s="71" t="s">
        <v>316</v>
      </c>
      <c r="B42" s="77" t="s">
        <v>180</v>
      </c>
      <c r="C42" s="78" t="s">
        <v>317</v>
      </c>
      <c r="D42" s="28" t="s">
        <v>318</v>
      </c>
    </row>
    <row r="43" spans="1:4" ht="16.149999999999999">
      <c r="A43" s="79" t="s">
        <v>163</v>
      </c>
      <c r="B43" s="80">
        <f>SUM(B44:B70)</f>
        <v>1438</v>
      </c>
      <c r="C43" s="17">
        <v>108443605</v>
      </c>
      <c r="D43" s="81">
        <f>(B43/C43)*100000</f>
        <v>1.3260348547062781</v>
      </c>
    </row>
    <row r="44" spans="1:4" ht="16.149999999999999">
      <c r="A44" s="82" t="s">
        <v>319</v>
      </c>
      <c r="B44" s="83">
        <v>9</v>
      </c>
      <c r="C44" s="22">
        <v>436943</v>
      </c>
      <c r="D44" s="84">
        <f t="shared" ref="D44:D70" si="1">(B44/C44)*100000</f>
        <v>2.0597652325360518</v>
      </c>
    </row>
    <row r="45" spans="1:4" ht="16.149999999999999">
      <c r="A45" s="82" t="s">
        <v>320</v>
      </c>
      <c r="B45" s="83">
        <v>18</v>
      </c>
      <c r="C45" s="22">
        <v>1666403</v>
      </c>
      <c r="D45" s="84">
        <f t="shared" si="1"/>
        <v>1.080170883033696</v>
      </c>
    </row>
    <row r="46" spans="1:4" ht="16.149999999999999">
      <c r="A46" s="82" t="s">
        <v>321</v>
      </c>
      <c r="B46" s="83">
        <v>3</v>
      </c>
      <c r="C46" s="22">
        <v>399205</v>
      </c>
      <c r="D46" s="84">
        <f t="shared" si="1"/>
        <v>0.75149359351711531</v>
      </c>
    </row>
    <row r="47" spans="1:4" ht="16.149999999999999">
      <c r="A47" s="82" t="s">
        <v>322</v>
      </c>
      <c r="B47" s="83">
        <v>23</v>
      </c>
      <c r="C47" s="22">
        <v>2109003</v>
      </c>
      <c r="D47" s="84">
        <f t="shared" si="1"/>
        <v>1.0905626971606963</v>
      </c>
    </row>
    <row r="48" spans="1:4" ht="16.149999999999999">
      <c r="A48" s="82" t="s">
        <v>323</v>
      </c>
      <c r="B48" s="83">
        <v>115</v>
      </c>
      <c r="C48" s="22">
        <v>7617375</v>
      </c>
      <c r="D48" s="84">
        <f>(B48/C48)*100000</f>
        <v>1.5097064277392147</v>
      </c>
    </row>
    <row r="49" spans="1:4" ht="16.149999999999999">
      <c r="A49" s="82" t="s">
        <v>324</v>
      </c>
      <c r="B49" s="83">
        <v>41</v>
      </c>
      <c r="C49" s="22">
        <v>4730055</v>
      </c>
      <c r="D49" s="85">
        <f t="shared" si="1"/>
        <v>0.86679753195258835</v>
      </c>
    </row>
    <row r="50" spans="1:4" ht="16.149999999999999">
      <c r="A50" s="82" t="s">
        <v>325</v>
      </c>
      <c r="B50" s="83">
        <v>32</v>
      </c>
      <c r="C50" s="22">
        <v>1549407</v>
      </c>
      <c r="D50" s="86">
        <f t="shared" si="1"/>
        <v>2.0653062752394948</v>
      </c>
    </row>
    <row r="51" spans="1:4" ht="16.149999999999999">
      <c r="A51" s="82" t="s">
        <v>326</v>
      </c>
      <c r="B51" s="83">
        <v>35</v>
      </c>
      <c r="C51" s="22">
        <v>2078813</v>
      </c>
      <c r="D51" s="86">
        <f t="shared" si="1"/>
        <v>1.6836531232005958</v>
      </c>
    </row>
    <row r="52" spans="1:4" ht="16.149999999999999">
      <c r="A52" s="82" t="s">
        <v>327</v>
      </c>
      <c r="B52" s="83">
        <v>56</v>
      </c>
      <c r="C52" s="22">
        <v>3681755</v>
      </c>
      <c r="D52" s="86">
        <f t="shared" si="1"/>
        <v>1.5210137556681529</v>
      </c>
    </row>
    <row r="53" spans="1:4" ht="16.149999999999999">
      <c r="A53" s="82" t="s">
        <v>328</v>
      </c>
      <c r="B53" s="83">
        <v>49</v>
      </c>
      <c r="C53" s="22">
        <v>3548427</v>
      </c>
      <c r="D53" s="86">
        <f t="shared" si="1"/>
        <v>1.3808935621333058</v>
      </c>
    </row>
    <row r="54" spans="1:4" ht="16.149999999999999">
      <c r="A54" s="82" t="s">
        <v>348</v>
      </c>
      <c r="B54" s="83">
        <v>46</v>
      </c>
      <c r="C54" s="22">
        <v>1873843</v>
      </c>
      <c r="D54" s="86">
        <f t="shared" si="1"/>
        <v>2.4548481382912017</v>
      </c>
    </row>
    <row r="55" spans="1:4" ht="16.149999999999999">
      <c r="A55" s="82" t="s">
        <v>330</v>
      </c>
      <c r="B55" s="83">
        <v>30</v>
      </c>
      <c r="C55" s="22">
        <v>1452267</v>
      </c>
      <c r="D55" s="86">
        <f t="shared" si="1"/>
        <v>2.0657358460944164</v>
      </c>
    </row>
    <row r="56" spans="1:4" ht="16.149999999999999">
      <c r="A56" s="82" t="s">
        <v>331</v>
      </c>
      <c r="B56" s="83">
        <v>167</v>
      </c>
      <c r="C56" s="22">
        <v>10825454</v>
      </c>
      <c r="D56" s="86">
        <f t="shared" si="1"/>
        <v>1.5426604741011325</v>
      </c>
    </row>
    <row r="57" spans="1:4" ht="16.149999999999999">
      <c r="A57" s="82" t="s">
        <v>332</v>
      </c>
      <c r="B57" s="83">
        <v>56</v>
      </c>
      <c r="C57" s="22">
        <v>4289392</v>
      </c>
      <c r="D57" s="86">
        <f t="shared" si="1"/>
        <v>1.305546333839388</v>
      </c>
    </row>
    <row r="58" spans="1:4" ht="16.149999999999999">
      <c r="A58" s="82" t="s">
        <v>333</v>
      </c>
      <c r="B58" s="83">
        <v>34</v>
      </c>
      <c r="C58" s="22">
        <v>2127839</v>
      </c>
      <c r="D58" s="86">
        <f t="shared" si="1"/>
        <v>1.5978652520232968</v>
      </c>
    </row>
    <row r="59" spans="1:4" ht="16.149999999999999">
      <c r="A59" s="82" t="s">
        <v>334</v>
      </c>
      <c r="B59" s="83">
        <v>79</v>
      </c>
      <c r="C59" s="22">
        <v>6007799</v>
      </c>
      <c r="D59" s="86">
        <f t="shared" si="1"/>
        <v>1.3149574411527416</v>
      </c>
    </row>
    <row r="60" spans="1:4" ht="16.149999999999999">
      <c r="A60" s="82" t="s">
        <v>335</v>
      </c>
      <c r="B60" s="83">
        <v>76</v>
      </c>
      <c r="C60" s="22">
        <v>4943748</v>
      </c>
      <c r="D60" s="86">
        <f t="shared" si="1"/>
        <v>1.5372951857578501</v>
      </c>
    </row>
    <row r="61" spans="1:4" ht="16.149999999999999">
      <c r="A61" s="82" t="s">
        <v>336</v>
      </c>
      <c r="B61" s="83">
        <v>28</v>
      </c>
      <c r="C61" s="22">
        <v>1718885</v>
      </c>
      <c r="D61" s="86">
        <f t="shared" si="1"/>
        <v>1.6289629614546639</v>
      </c>
    </row>
    <row r="62" spans="1:4" ht="16.149999999999999">
      <c r="A62" s="82" t="s">
        <v>337</v>
      </c>
      <c r="B62" s="83">
        <v>98</v>
      </c>
      <c r="C62" s="22">
        <v>9030956</v>
      </c>
      <c r="D62" s="86">
        <f t="shared" si="1"/>
        <v>1.0851564330509416</v>
      </c>
    </row>
    <row r="63" spans="1:4" ht="16.149999999999999">
      <c r="A63" s="82" t="s">
        <v>338</v>
      </c>
      <c r="B63" s="83">
        <v>23</v>
      </c>
      <c r="C63" s="22">
        <v>1762941</v>
      </c>
      <c r="D63" s="86">
        <f t="shared" si="1"/>
        <v>1.3046381018990425</v>
      </c>
    </row>
    <row r="64" spans="1:4" ht="16.149999999999999">
      <c r="A64" s="82" t="s">
        <v>339</v>
      </c>
      <c r="B64" s="83">
        <v>85</v>
      </c>
      <c r="C64" s="22">
        <v>5774114</v>
      </c>
      <c r="D64" s="86">
        <f t="shared" si="1"/>
        <v>1.4720873193705561</v>
      </c>
    </row>
    <row r="65" spans="1:4" ht="16.149999999999999">
      <c r="A65" s="82" t="s">
        <v>340</v>
      </c>
      <c r="B65" s="83">
        <v>19</v>
      </c>
      <c r="C65" s="22">
        <v>864583</v>
      </c>
      <c r="D65" s="86">
        <f t="shared" si="1"/>
        <v>2.1975912087098637</v>
      </c>
    </row>
    <row r="66" spans="1:4" ht="16.149999999999999">
      <c r="A66" s="82" t="s">
        <v>341</v>
      </c>
      <c r="B66" s="83">
        <v>6</v>
      </c>
      <c r="C66" s="22">
        <v>342577</v>
      </c>
      <c r="D66" s="86">
        <f t="shared" si="1"/>
        <v>1.751431065132802</v>
      </c>
    </row>
    <row r="67" spans="1:4" ht="16.149999999999999">
      <c r="A67" s="82" t="s">
        <v>342</v>
      </c>
      <c r="B67" s="83">
        <v>57</v>
      </c>
      <c r="C67" s="22">
        <v>4005280</v>
      </c>
      <c r="D67" s="86">
        <f t="shared" si="1"/>
        <v>1.4231214796468661</v>
      </c>
    </row>
    <row r="68" spans="1:4" ht="16.149999999999999">
      <c r="A68" s="82" t="s">
        <v>343</v>
      </c>
      <c r="B68" s="83">
        <v>219</v>
      </c>
      <c r="C68" s="22">
        <v>23645504</v>
      </c>
      <c r="D68" s="86">
        <f t="shared" si="1"/>
        <v>0.92618030049179745</v>
      </c>
    </row>
    <row r="69" spans="1:4" ht="16.149999999999999">
      <c r="A69" s="82" t="s">
        <v>344</v>
      </c>
      <c r="B69" s="83">
        <v>16</v>
      </c>
      <c r="C69" s="22">
        <v>1183150</v>
      </c>
      <c r="D69" s="86">
        <f t="shared" si="1"/>
        <v>1.3523221907619489</v>
      </c>
    </row>
    <row r="70" spans="1:4" ht="16.149999999999999">
      <c r="A70" s="82" t="s">
        <v>345</v>
      </c>
      <c r="B70" s="83">
        <v>18</v>
      </c>
      <c r="C70" s="22">
        <v>777887</v>
      </c>
      <c r="D70" s="86">
        <f t="shared" si="1"/>
        <v>2.3139607680807108</v>
      </c>
    </row>
    <row r="71" spans="1:4">
      <c r="A71" s="24" t="s">
        <v>346</v>
      </c>
      <c r="B71" s="62"/>
      <c r="C71" s="62"/>
      <c r="D71" s="62"/>
    </row>
    <row r="72" spans="1:4">
      <c r="A72" s="396" t="s">
        <v>312</v>
      </c>
      <c r="B72" s="421"/>
      <c r="C72" s="421"/>
      <c r="D72" s="421"/>
    </row>
    <row r="73" spans="1:4" ht="15" customHeight="1">
      <c r="A73" s="420" t="s">
        <v>313</v>
      </c>
      <c r="B73" s="420"/>
      <c r="C73" s="420"/>
      <c r="D73" s="420"/>
    </row>
    <row r="74" spans="1:4">
      <c r="A74" s="420" t="s">
        <v>314</v>
      </c>
      <c r="B74" s="420"/>
      <c r="C74" s="420"/>
      <c r="D74" s="420"/>
    </row>
  </sheetData>
  <mergeCells count="6">
    <mergeCell ref="A74:D74"/>
    <mergeCell ref="A73:D73"/>
    <mergeCell ref="A72:D72"/>
    <mergeCell ref="A1:D1"/>
    <mergeCell ref="A32:D32"/>
    <mergeCell ref="A41:D4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986A1-7006-4A73-AF01-13224D5B4BFD}">
  <dimension ref="A1:E16"/>
  <sheetViews>
    <sheetView workbookViewId="0">
      <selection activeCell="B3" sqref="B3"/>
    </sheetView>
  </sheetViews>
  <sheetFormatPr defaultRowHeight="14.45"/>
  <cols>
    <col min="1" max="1" width="25.7109375" customWidth="1"/>
    <col min="2" max="2" width="28.7109375" customWidth="1"/>
  </cols>
  <sheetData>
    <row r="1" spans="1:5" ht="63.75" customHeight="1">
      <c r="A1" s="422" t="s">
        <v>349</v>
      </c>
      <c r="B1" s="418"/>
      <c r="C1" s="193"/>
      <c r="D1" s="193"/>
      <c r="E1" s="193"/>
    </row>
    <row r="2" spans="1:5" ht="16.149999999999999">
      <c r="A2" s="55" t="s">
        <v>310</v>
      </c>
      <c r="B2" s="76" t="s">
        <v>180</v>
      </c>
    </row>
    <row r="3" spans="1:5" ht="16.149999999999999">
      <c r="A3" s="366">
        <v>2024</v>
      </c>
      <c r="B3" s="379">
        <v>2485</v>
      </c>
    </row>
    <row r="4" spans="1:5" ht="16.149999999999999">
      <c r="A4" s="75">
        <v>2023</v>
      </c>
      <c r="B4" s="241">
        <v>2707</v>
      </c>
    </row>
    <row r="5" spans="1:5" ht="16.149999999999999">
      <c r="A5" s="75">
        <v>2022</v>
      </c>
      <c r="B5" s="241">
        <v>2620</v>
      </c>
    </row>
    <row r="6" spans="1:5" ht="16.149999999999999">
      <c r="A6" s="75">
        <v>2021</v>
      </c>
      <c r="B6" s="241">
        <v>2758</v>
      </c>
    </row>
    <row r="7" spans="1:5" ht="16.149999999999999">
      <c r="A7" s="75">
        <v>2020</v>
      </c>
      <c r="B7" s="241">
        <v>2798</v>
      </c>
    </row>
    <row r="8" spans="1:5" ht="16.149999999999999">
      <c r="A8" s="75">
        <v>2019</v>
      </c>
      <c r="B8" s="241">
        <v>2712</v>
      </c>
    </row>
    <row r="9" spans="1:5" ht="16.149999999999999">
      <c r="A9" s="75">
        <v>2018</v>
      </c>
      <c r="B9" s="241">
        <v>3497</v>
      </c>
    </row>
    <row r="10" spans="1:5" ht="16.149999999999999">
      <c r="A10" s="75">
        <v>2017</v>
      </c>
      <c r="B10" s="241">
        <v>3916</v>
      </c>
    </row>
    <row r="11" spans="1:5" ht="16.149999999999999">
      <c r="A11" s="75">
        <v>2016</v>
      </c>
      <c r="B11" s="241">
        <v>3198</v>
      </c>
    </row>
    <row r="12" spans="1:5" ht="16.149999999999999">
      <c r="A12" s="75">
        <v>2015</v>
      </c>
      <c r="B12" s="241">
        <v>2968</v>
      </c>
    </row>
    <row r="13" spans="1:5">
      <c r="A13" s="24" t="s">
        <v>311</v>
      </c>
    </row>
    <row r="14" spans="1:5">
      <c r="A14" s="24" t="s">
        <v>312</v>
      </c>
    </row>
    <row r="15" spans="1:5">
      <c r="A15" s="109" t="s">
        <v>350</v>
      </c>
    </row>
    <row r="16" spans="1:5">
      <c r="A16" s="109" t="s">
        <v>351</v>
      </c>
    </row>
  </sheetData>
  <mergeCells count="1">
    <mergeCell ref="A1:B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5A032-25EA-4EFB-8C9C-DC09B2964DFB}">
  <dimension ref="A1:D72"/>
  <sheetViews>
    <sheetView topLeftCell="A48" workbookViewId="0">
      <selection activeCell="B41" sqref="B41"/>
    </sheetView>
  </sheetViews>
  <sheetFormatPr defaultRowHeight="14.45"/>
  <cols>
    <col min="1" max="1" width="37.140625" customWidth="1"/>
    <col min="2" max="2" width="18.85546875" customWidth="1"/>
    <col min="3" max="3" width="41.5703125" customWidth="1"/>
    <col min="4" max="4" width="36.42578125" customWidth="1"/>
  </cols>
  <sheetData>
    <row r="1" spans="1:4" ht="67.5" customHeight="1">
      <c r="A1" s="403" t="s">
        <v>352</v>
      </c>
      <c r="B1" s="403"/>
      <c r="C1" s="403"/>
      <c r="D1" s="403"/>
    </row>
    <row r="2" spans="1:4" ht="16.149999999999999">
      <c r="A2" s="71" t="s">
        <v>316</v>
      </c>
      <c r="B2" s="71" t="s">
        <v>180</v>
      </c>
      <c r="C2" s="78" t="s">
        <v>317</v>
      </c>
      <c r="D2" s="71" t="s">
        <v>318</v>
      </c>
    </row>
    <row r="3" spans="1:4" ht="16.149999999999999">
      <c r="A3" s="291" t="s">
        <v>163</v>
      </c>
      <c r="B3" s="293">
        <f>SUM(B4:B30)</f>
        <v>2485</v>
      </c>
      <c r="C3" s="17">
        <v>108921464</v>
      </c>
      <c r="D3" s="294">
        <f t="shared" ref="D3:D30" si="0">(B3/C3)*100000</f>
        <v>2.2814603373307576</v>
      </c>
    </row>
    <row r="4" spans="1:4" ht="16.149999999999999">
      <c r="A4" s="73" t="s">
        <v>319</v>
      </c>
      <c r="B4" s="71">
        <v>7</v>
      </c>
      <c r="C4" s="22">
        <v>438884</v>
      </c>
      <c r="D4" s="381">
        <f t="shared" si="0"/>
        <v>1.594954475442258</v>
      </c>
    </row>
    <row r="5" spans="1:4" ht="16.149999999999999">
      <c r="A5" s="73" t="s">
        <v>320</v>
      </c>
      <c r="B5" s="71">
        <v>49</v>
      </c>
      <c r="C5" s="22">
        <v>1667559</v>
      </c>
      <c r="D5" s="381">
        <f t="shared" si="0"/>
        <v>2.938426766309318</v>
      </c>
    </row>
    <row r="6" spans="1:4" ht="16.149999999999999">
      <c r="A6" s="73" t="s">
        <v>321</v>
      </c>
      <c r="B6" s="71">
        <v>5</v>
      </c>
      <c r="C6" s="22">
        <v>401255</v>
      </c>
      <c r="D6" s="381">
        <f t="shared" si="0"/>
        <v>1.2460903913969921</v>
      </c>
    </row>
    <row r="7" spans="1:4" ht="16.149999999999999">
      <c r="A7" s="73" t="s">
        <v>322</v>
      </c>
      <c r="B7" s="71">
        <v>49</v>
      </c>
      <c r="C7" s="22">
        <v>2129205</v>
      </c>
      <c r="D7" s="381">
        <f t="shared" si="0"/>
        <v>2.3013284300948005</v>
      </c>
    </row>
    <row r="8" spans="1:4" ht="16.149999999999999">
      <c r="A8" s="73" t="s">
        <v>323</v>
      </c>
      <c r="B8" s="71">
        <v>290</v>
      </c>
      <c r="C8" s="22">
        <v>7632196</v>
      </c>
      <c r="D8" s="381">
        <f t="shared" si="0"/>
        <v>3.7996927751855427</v>
      </c>
    </row>
    <row r="9" spans="1:4" ht="16.149999999999999">
      <c r="A9" s="73" t="s">
        <v>324</v>
      </c>
      <c r="B9" s="71">
        <v>269</v>
      </c>
      <c r="C9" s="22">
        <v>4749310</v>
      </c>
      <c r="D9" s="381">
        <f t="shared" si="0"/>
        <v>5.6639806624541249</v>
      </c>
    </row>
    <row r="10" spans="1:4" ht="16.149999999999999">
      <c r="A10" s="73" t="s">
        <v>325</v>
      </c>
      <c r="B10" s="71">
        <v>10</v>
      </c>
      <c r="C10" s="22">
        <v>1557961</v>
      </c>
      <c r="D10" s="381">
        <f t="shared" si="0"/>
        <v>0.64186459096216142</v>
      </c>
    </row>
    <row r="11" spans="1:4" ht="16.149999999999999">
      <c r="A11" s="73" t="s">
        <v>326</v>
      </c>
      <c r="B11" s="71">
        <v>57</v>
      </c>
      <c r="C11" s="22">
        <v>2092956</v>
      </c>
      <c r="D11" s="381">
        <f t="shared" si="0"/>
        <v>2.7234208459231826</v>
      </c>
    </row>
    <row r="12" spans="1:4" ht="16.149999999999999">
      <c r="A12" s="73" t="s">
        <v>327</v>
      </c>
      <c r="B12" s="71">
        <v>64</v>
      </c>
      <c r="C12" s="22">
        <v>3721543</v>
      </c>
      <c r="D12" s="381">
        <f t="shared" si="0"/>
        <v>1.7197167948885717</v>
      </c>
    </row>
    <row r="13" spans="1:4" ht="16.149999999999999">
      <c r="A13" s="73" t="s">
        <v>328</v>
      </c>
      <c r="B13" s="71">
        <v>86</v>
      </c>
      <c r="C13" s="22">
        <v>3553820</v>
      </c>
      <c r="D13" s="381">
        <f t="shared" si="0"/>
        <v>2.4199312289311221</v>
      </c>
    </row>
    <row r="14" spans="1:4" ht="16.149999999999999">
      <c r="A14" s="73" t="s">
        <v>348</v>
      </c>
      <c r="B14" s="71">
        <v>53</v>
      </c>
      <c r="C14" s="22">
        <v>1904239</v>
      </c>
      <c r="D14" s="381">
        <f t="shared" si="0"/>
        <v>2.7832640755703459</v>
      </c>
    </row>
    <row r="15" spans="1:4" ht="16.149999999999999">
      <c r="A15" s="73" t="s">
        <v>330</v>
      </c>
      <c r="B15" s="71">
        <v>58</v>
      </c>
      <c r="C15" s="22">
        <v>1464566</v>
      </c>
      <c r="D15" s="381">
        <f t="shared" si="0"/>
        <v>3.9602175661595314</v>
      </c>
    </row>
    <row r="16" spans="1:4" ht="16.149999999999999">
      <c r="A16" s="73" t="s">
        <v>331</v>
      </c>
      <c r="B16" s="71">
        <v>181</v>
      </c>
      <c r="C16" s="22">
        <v>10866275</v>
      </c>
      <c r="D16" s="381">
        <f t="shared" si="0"/>
        <v>1.6657042086639626</v>
      </c>
    </row>
    <row r="17" spans="1:4" ht="16.149999999999999">
      <c r="A17" s="73" t="s">
        <v>332</v>
      </c>
      <c r="B17" s="71">
        <v>194</v>
      </c>
      <c r="C17" s="22">
        <v>4313795</v>
      </c>
      <c r="D17" s="381">
        <f t="shared" si="0"/>
        <v>4.4972002610230666</v>
      </c>
    </row>
    <row r="18" spans="1:4" ht="16.149999999999999">
      <c r="A18" s="73" t="s">
        <v>333</v>
      </c>
      <c r="B18" s="71">
        <v>41</v>
      </c>
      <c r="C18" s="22">
        <v>2138409</v>
      </c>
      <c r="D18" s="381">
        <f t="shared" si="0"/>
        <v>1.9173132922654181</v>
      </c>
    </row>
    <row r="19" spans="1:4" ht="16.149999999999999">
      <c r="A19" s="73" t="s">
        <v>334</v>
      </c>
      <c r="B19" s="71">
        <v>142</v>
      </c>
      <c r="C19" s="22">
        <v>6046638</v>
      </c>
      <c r="D19" s="381">
        <f t="shared" si="0"/>
        <v>2.3484124566411948</v>
      </c>
    </row>
    <row r="20" spans="1:4" ht="16.149999999999999">
      <c r="A20" s="73" t="s">
        <v>335</v>
      </c>
      <c r="B20" s="71">
        <v>181</v>
      </c>
      <c r="C20" s="22">
        <v>4956611</v>
      </c>
      <c r="D20" s="381">
        <f t="shared" si="0"/>
        <v>3.6516886235373325</v>
      </c>
    </row>
    <row r="21" spans="1:4" ht="16.149999999999999">
      <c r="A21" s="73" t="s">
        <v>336</v>
      </c>
      <c r="B21" s="71">
        <v>32</v>
      </c>
      <c r="C21" s="22">
        <v>1724357</v>
      </c>
      <c r="D21" s="381">
        <f t="shared" si="0"/>
        <v>1.8557642065999094</v>
      </c>
    </row>
    <row r="22" spans="1:4" ht="16.149999999999999">
      <c r="A22" s="73" t="s">
        <v>337</v>
      </c>
      <c r="B22" s="71">
        <v>232</v>
      </c>
      <c r="C22" s="22">
        <v>9035062</v>
      </c>
      <c r="D22" s="381">
        <f t="shared" si="0"/>
        <v>2.5677742997225699</v>
      </c>
    </row>
    <row r="23" spans="1:4" ht="16.149999999999999">
      <c r="A23" s="73" t="s">
        <v>338</v>
      </c>
      <c r="B23" s="71">
        <v>30</v>
      </c>
      <c r="C23" s="22">
        <v>1768102</v>
      </c>
      <c r="D23" s="381">
        <f t="shared" si="0"/>
        <v>1.6967346906456755</v>
      </c>
    </row>
    <row r="24" spans="1:4" ht="16.149999999999999">
      <c r="A24" s="73" t="s">
        <v>339</v>
      </c>
      <c r="B24" s="71">
        <v>132</v>
      </c>
      <c r="C24" s="22">
        <v>5778778</v>
      </c>
      <c r="D24" s="381">
        <f t="shared" si="0"/>
        <v>2.2842199510000212</v>
      </c>
    </row>
    <row r="25" spans="1:4" ht="16.149999999999999">
      <c r="A25" s="73" t="s">
        <v>340</v>
      </c>
      <c r="B25" s="71">
        <v>67</v>
      </c>
      <c r="C25" s="22">
        <v>868133</v>
      </c>
      <c r="D25" s="381">
        <f t="shared" si="0"/>
        <v>7.7177114566546825</v>
      </c>
    </row>
    <row r="26" spans="1:4" ht="16.149999999999999">
      <c r="A26" s="73" t="s">
        <v>341</v>
      </c>
      <c r="B26" s="71">
        <v>11</v>
      </c>
      <c r="C26" s="22">
        <v>352946</v>
      </c>
      <c r="D26" s="381">
        <f t="shared" si="0"/>
        <v>3.116624072804338</v>
      </c>
    </row>
    <row r="27" spans="1:4" ht="16.149999999999999">
      <c r="A27" s="73" t="s">
        <v>342</v>
      </c>
      <c r="B27" s="71">
        <v>40</v>
      </c>
      <c r="C27" s="22">
        <v>4071859</v>
      </c>
      <c r="D27" s="381">
        <f t="shared" si="0"/>
        <v>0.98235228675649122</v>
      </c>
    </row>
    <row r="28" spans="1:4" ht="16.149999999999999">
      <c r="A28" s="73" t="s">
        <v>343</v>
      </c>
      <c r="B28" s="71">
        <v>177</v>
      </c>
      <c r="C28" s="22">
        <v>23715051</v>
      </c>
      <c r="D28" s="381">
        <f t="shared" si="0"/>
        <v>0.74636145627517303</v>
      </c>
    </row>
    <row r="29" spans="1:4" ht="16.149999999999999">
      <c r="A29" s="73" t="s">
        <v>344</v>
      </c>
      <c r="B29" s="71">
        <v>13</v>
      </c>
      <c r="C29" s="22">
        <v>1188432</v>
      </c>
      <c r="D29" s="381">
        <f t="shared" si="0"/>
        <v>1.0938783203414246</v>
      </c>
    </row>
    <row r="30" spans="1:4" ht="16.149999999999999">
      <c r="A30" s="73" t="s">
        <v>345</v>
      </c>
      <c r="B30" s="71">
        <v>15</v>
      </c>
      <c r="C30" s="22">
        <v>783522</v>
      </c>
      <c r="D30" s="381">
        <f t="shared" si="0"/>
        <v>1.9144325239112621</v>
      </c>
    </row>
    <row r="31" spans="1:4">
      <c r="A31" s="24" t="s">
        <v>353</v>
      </c>
      <c r="B31" s="62"/>
      <c r="C31" s="62"/>
      <c r="D31" s="62"/>
    </row>
    <row r="32" spans="1:4">
      <c r="A32" s="396" t="s">
        <v>312</v>
      </c>
      <c r="B32" s="421"/>
      <c r="C32" s="421"/>
      <c r="D32" s="421"/>
    </row>
    <row r="33" spans="1:4" ht="15" customHeight="1">
      <c r="A33" s="420" t="s">
        <v>313</v>
      </c>
      <c r="B33" s="423"/>
      <c r="C33" s="423"/>
      <c r="D33" s="423"/>
    </row>
    <row r="34" spans="1:4">
      <c r="A34" s="420" t="s">
        <v>354</v>
      </c>
      <c r="B34" s="423"/>
      <c r="C34" s="423"/>
      <c r="D34" s="423"/>
    </row>
    <row r="39" spans="1:4" ht="44.25" customHeight="1">
      <c r="A39" s="403" t="s">
        <v>355</v>
      </c>
      <c r="B39" s="403"/>
      <c r="C39" s="403"/>
      <c r="D39" s="403"/>
    </row>
    <row r="40" spans="1:4" ht="16.149999999999999">
      <c r="A40" s="71" t="s">
        <v>316</v>
      </c>
      <c r="B40" s="71" t="s">
        <v>180</v>
      </c>
      <c r="C40" s="78" t="s">
        <v>317</v>
      </c>
      <c r="D40" s="71" t="s">
        <v>318</v>
      </c>
    </row>
    <row r="41" spans="1:4" ht="16.149999999999999">
      <c r="A41" s="291" t="s">
        <v>163</v>
      </c>
      <c r="B41" s="293">
        <f>SUM(B42:B68)</f>
        <v>2707</v>
      </c>
      <c r="C41" s="293">
        <v>108443605</v>
      </c>
      <c r="D41" s="294">
        <f>(B41/C41)*100000</f>
        <v>2.4962283391445719</v>
      </c>
    </row>
    <row r="42" spans="1:4" ht="16.149999999999999">
      <c r="A42" s="73" t="s">
        <v>319</v>
      </c>
      <c r="B42" s="71">
        <v>5</v>
      </c>
      <c r="C42" s="22">
        <v>436943</v>
      </c>
      <c r="D42" s="86">
        <f t="shared" ref="D42:D68" si="1">(B42/C42)*100000</f>
        <v>1.1443140180755842</v>
      </c>
    </row>
    <row r="43" spans="1:4" ht="16.149999999999999">
      <c r="A43" s="73" t="s">
        <v>320</v>
      </c>
      <c r="B43" s="71">
        <v>61</v>
      </c>
      <c r="C43" s="22">
        <v>1666403</v>
      </c>
      <c r="D43" s="86">
        <f t="shared" si="1"/>
        <v>3.6605791036141917</v>
      </c>
    </row>
    <row r="44" spans="1:4" ht="16.149999999999999">
      <c r="A44" s="73" t="s">
        <v>321</v>
      </c>
      <c r="B44" s="71">
        <v>13</v>
      </c>
      <c r="C44" s="22">
        <v>399205</v>
      </c>
      <c r="D44" s="86">
        <f t="shared" si="1"/>
        <v>3.2564722385741662</v>
      </c>
    </row>
    <row r="45" spans="1:4" ht="16.149999999999999">
      <c r="A45" s="73" t="s">
        <v>322</v>
      </c>
      <c r="B45" s="71">
        <v>81</v>
      </c>
      <c r="C45" s="22">
        <v>2109003</v>
      </c>
      <c r="D45" s="86">
        <f t="shared" si="1"/>
        <v>3.8406773247833219</v>
      </c>
    </row>
    <row r="46" spans="1:4" ht="16.149999999999999">
      <c r="A46" s="73" t="s">
        <v>323</v>
      </c>
      <c r="B46" s="71">
        <v>332</v>
      </c>
      <c r="C46" s="22">
        <v>7617375</v>
      </c>
      <c r="D46" s="86">
        <f t="shared" si="1"/>
        <v>4.3584568174732112</v>
      </c>
    </row>
    <row r="47" spans="1:4" ht="16.149999999999999">
      <c r="A47" s="73" t="s">
        <v>324</v>
      </c>
      <c r="B47" s="71">
        <v>223</v>
      </c>
      <c r="C47" s="22">
        <v>4730055</v>
      </c>
      <c r="D47" s="86">
        <f t="shared" si="1"/>
        <v>4.7145329176933464</v>
      </c>
    </row>
    <row r="48" spans="1:4" ht="16.149999999999999">
      <c r="A48" s="73" t="s">
        <v>325</v>
      </c>
      <c r="B48" s="71">
        <v>14</v>
      </c>
      <c r="C48" s="22">
        <v>1549407</v>
      </c>
      <c r="D48" s="86">
        <f t="shared" si="1"/>
        <v>0.90357149541727899</v>
      </c>
    </row>
    <row r="49" spans="1:4" ht="16.149999999999999">
      <c r="A49" s="73" t="s">
        <v>326</v>
      </c>
      <c r="B49" s="71">
        <v>53</v>
      </c>
      <c r="C49" s="22">
        <v>2078813</v>
      </c>
      <c r="D49" s="86">
        <f t="shared" si="1"/>
        <v>2.5495318722751876</v>
      </c>
    </row>
    <row r="50" spans="1:4" ht="16.149999999999999">
      <c r="A50" s="73" t="s">
        <v>327</v>
      </c>
      <c r="B50" s="71">
        <v>72</v>
      </c>
      <c r="C50" s="22">
        <v>3681755</v>
      </c>
      <c r="D50" s="86">
        <f t="shared" si="1"/>
        <v>1.9555891144304822</v>
      </c>
    </row>
    <row r="51" spans="1:4" ht="16.149999999999999">
      <c r="A51" s="73" t="s">
        <v>328</v>
      </c>
      <c r="B51" s="71">
        <v>84</v>
      </c>
      <c r="C51" s="22">
        <v>3548427</v>
      </c>
      <c r="D51" s="86">
        <f t="shared" si="1"/>
        <v>2.3672461065142385</v>
      </c>
    </row>
    <row r="52" spans="1:4" ht="16.149999999999999">
      <c r="A52" s="73" t="s">
        <v>348</v>
      </c>
      <c r="B52" s="71">
        <v>58</v>
      </c>
      <c r="C52" s="22">
        <v>1873843</v>
      </c>
      <c r="D52" s="86">
        <f t="shared" si="1"/>
        <v>3.0952433048019499</v>
      </c>
    </row>
    <row r="53" spans="1:4" ht="16.149999999999999">
      <c r="A53" s="73" t="s">
        <v>330</v>
      </c>
      <c r="B53" s="71">
        <v>52</v>
      </c>
      <c r="C53" s="22">
        <v>1452267</v>
      </c>
      <c r="D53" s="86">
        <f t="shared" si="1"/>
        <v>3.5806087998969889</v>
      </c>
    </row>
    <row r="54" spans="1:4" ht="16.149999999999999">
      <c r="A54" s="73" t="s">
        <v>331</v>
      </c>
      <c r="B54" s="71">
        <v>164</v>
      </c>
      <c r="C54" s="22">
        <v>10825454</v>
      </c>
      <c r="D54" s="86">
        <f t="shared" si="1"/>
        <v>1.5149480104945252</v>
      </c>
    </row>
    <row r="55" spans="1:4" ht="16.149999999999999">
      <c r="A55" s="73" t="s">
        <v>332</v>
      </c>
      <c r="B55" s="71">
        <v>226</v>
      </c>
      <c r="C55" s="22">
        <v>4289392</v>
      </c>
      <c r="D55" s="86">
        <f t="shared" si="1"/>
        <v>5.2688119901375305</v>
      </c>
    </row>
    <row r="56" spans="1:4" ht="16.149999999999999">
      <c r="A56" s="73" t="s">
        <v>333</v>
      </c>
      <c r="B56" s="71">
        <v>40</v>
      </c>
      <c r="C56" s="22">
        <v>2127839</v>
      </c>
      <c r="D56" s="86">
        <f t="shared" si="1"/>
        <v>1.8798414729685844</v>
      </c>
    </row>
    <row r="57" spans="1:4" ht="16.149999999999999">
      <c r="A57" s="73" t="s">
        <v>334</v>
      </c>
      <c r="B57" s="71">
        <v>172</v>
      </c>
      <c r="C57" s="22">
        <v>6007799</v>
      </c>
      <c r="D57" s="86">
        <f t="shared" si="1"/>
        <v>2.8629453149148296</v>
      </c>
    </row>
    <row r="58" spans="1:4" ht="16.149999999999999">
      <c r="A58" s="73" t="s">
        <v>335</v>
      </c>
      <c r="B58" s="71">
        <v>197</v>
      </c>
      <c r="C58" s="22">
        <v>4943748</v>
      </c>
      <c r="D58" s="86">
        <f t="shared" si="1"/>
        <v>3.9848309420302166</v>
      </c>
    </row>
    <row r="59" spans="1:4" ht="16.149999999999999">
      <c r="A59" s="73" t="s">
        <v>336</v>
      </c>
      <c r="B59" s="71">
        <v>36</v>
      </c>
      <c r="C59" s="22">
        <v>1718885</v>
      </c>
      <c r="D59" s="86">
        <f t="shared" si="1"/>
        <v>2.0943809504417108</v>
      </c>
    </row>
    <row r="60" spans="1:4" ht="16.149999999999999">
      <c r="A60" s="73" t="s">
        <v>337</v>
      </c>
      <c r="B60" s="71">
        <v>289</v>
      </c>
      <c r="C60" s="22">
        <v>9030956</v>
      </c>
      <c r="D60" s="86">
        <f t="shared" si="1"/>
        <v>3.2001041750175734</v>
      </c>
    </row>
    <row r="61" spans="1:4" ht="16.149999999999999">
      <c r="A61" s="73" t="s">
        <v>338</v>
      </c>
      <c r="B61" s="71">
        <v>35</v>
      </c>
      <c r="C61" s="22">
        <v>1762941</v>
      </c>
      <c r="D61" s="86">
        <f t="shared" si="1"/>
        <v>1.9853188507159343</v>
      </c>
    </row>
    <row r="62" spans="1:4" ht="16.149999999999999">
      <c r="A62" s="73" t="s">
        <v>339</v>
      </c>
      <c r="B62" s="71">
        <v>143</v>
      </c>
      <c r="C62" s="22">
        <v>5774114</v>
      </c>
      <c r="D62" s="86">
        <f t="shared" si="1"/>
        <v>2.4765704314116417</v>
      </c>
    </row>
    <row r="63" spans="1:4" ht="16.149999999999999">
      <c r="A63" s="73" t="s">
        <v>340</v>
      </c>
      <c r="B63" s="71">
        <v>26</v>
      </c>
      <c r="C63" s="22">
        <v>864583</v>
      </c>
      <c r="D63" s="86">
        <f t="shared" si="1"/>
        <v>3.0072300750766554</v>
      </c>
    </row>
    <row r="64" spans="1:4" ht="16.149999999999999">
      <c r="A64" s="73" t="s">
        <v>341</v>
      </c>
      <c r="B64" s="71">
        <v>13</v>
      </c>
      <c r="C64" s="22">
        <v>342577</v>
      </c>
      <c r="D64" s="86">
        <f t="shared" si="1"/>
        <v>3.7947673077877382</v>
      </c>
    </row>
    <row r="65" spans="1:4" ht="16.149999999999999">
      <c r="A65" s="73" t="s">
        <v>342</v>
      </c>
      <c r="B65" s="71">
        <v>50</v>
      </c>
      <c r="C65" s="22">
        <v>4005280</v>
      </c>
      <c r="D65" s="86">
        <f t="shared" si="1"/>
        <v>1.24835217512883</v>
      </c>
    </row>
    <row r="66" spans="1:4" ht="16.149999999999999">
      <c r="A66" s="73" t="s">
        <v>343</v>
      </c>
      <c r="B66" s="71">
        <v>229</v>
      </c>
      <c r="C66" s="22">
        <v>23645504</v>
      </c>
      <c r="D66" s="86">
        <f t="shared" si="1"/>
        <v>0.96847163841379735</v>
      </c>
    </row>
    <row r="67" spans="1:4" ht="16.149999999999999">
      <c r="A67" s="73" t="s">
        <v>344</v>
      </c>
      <c r="B67" s="71">
        <v>23</v>
      </c>
      <c r="C67" s="22">
        <v>1183150</v>
      </c>
      <c r="D67" s="86">
        <f t="shared" si="1"/>
        <v>1.9439631492203016</v>
      </c>
    </row>
    <row r="68" spans="1:4" ht="16.149999999999999">
      <c r="A68" s="73" t="s">
        <v>345</v>
      </c>
      <c r="B68" s="71">
        <v>16</v>
      </c>
      <c r="C68" s="22">
        <v>777887</v>
      </c>
      <c r="D68" s="86">
        <f t="shared" si="1"/>
        <v>2.056854016071743</v>
      </c>
    </row>
    <row r="69" spans="1:4">
      <c r="A69" s="24" t="s">
        <v>353</v>
      </c>
      <c r="B69" s="62"/>
      <c r="C69" s="62"/>
      <c r="D69" s="62"/>
    </row>
    <row r="70" spans="1:4">
      <c r="A70" s="396" t="s">
        <v>312</v>
      </c>
      <c r="B70" s="421"/>
      <c r="C70" s="421"/>
      <c r="D70" s="421"/>
    </row>
    <row r="71" spans="1:4" ht="15" customHeight="1">
      <c r="A71" s="420" t="s">
        <v>313</v>
      </c>
      <c r="B71" s="423"/>
      <c r="C71" s="423"/>
      <c r="D71" s="423"/>
    </row>
    <row r="72" spans="1:4">
      <c r="A72" s="420" t="s">
        <v>354</v>
      </c>
      <c r="B72" s="423"/>
      <c r="C72" s="423"/>
      <c r="D72" s="423"/>
    </row>
  </sheetData>
  <mergeCells count="8">
    <mergeCell ref="A72:D72"/>
    <mergeCell ref="A71:D71"/>
    <mergeCell ref="A70:D70"/>
    <mergeCell ref="A1:D1"/>
    <mergeCell ref="A32:D32"/>
    <mergeCell ref="A39:D39"/>
    <mergeCell ref="A33:D33"/>
    <mergeCell ref="A34:D3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05B4E-717D-4D46-90A2-7446DA1F7CF3}">
  <dimension ref="A1:F19"/>
  <sheetViews>
    <sheetView workbookViewId="0">
      <selection activeCell="F4" sqref="F4"/>
    </sheetView>
  </sheetViews>
  <sheetFormatPr defaultRowHeight="14.45"/>
  <cols>
    <col min="1" max="1" width="24" customWidth="1"/>
    <col min="2" max="2" width="42.7109375" bestFit="1" customWidth="1"/>
    <col min="3" max="3" width="36.85546875" customWidth="1"/>
  </cols>
  <sheetData>
    <row r="1" spans="1:6" ht="41.45" customHeight="1">
      <c r="A1" s="411" t="s">
        <v>356</v>
      </c>
      <c r="B1" s="411"/>
      <c r="C1" s="194"/>
      <c r="D1" s="194"/>
      <c r="E1" s="194"/>
      <c r="F1" s="194"/>
    </row>
    <row r="2" spans="1:6" ht="16.149999999999999">
      <c r="A2" s="15" t="s">
        <v>310</v>
      </c>
      <c r="B2" s="15" t="s">
        <v>180</v>
      </c>
      <c r="C2" s="146"/>
    </row>
    <row r="3" spans="1:6" ht="16.149999999999999">
      <c r="A3" s="37">
        <v>2024</v>
      </c>
      <c r="B3" s="50">
        <v>71892</v>
      </c>
    </row>
    <row r="4" spans="1:6" ht="16.149999999999999">
      <c r="A4" s="40">
        <v>2023</v>
      </c>
      <c r="B4" s="49">
        <v>72939</v>
      </c>
    </row>
    <row r="5" spans="1:6" ht="16.149999999999999">
      <c r="A5" s="40">
        <v>2022</v>
      </c>
      <c r="B5" s="49">
        <v>69317</v>
      </c>
    </row>
    <row r="6" spans="1:6" ht="16.149999999999999">
      <c r="A6" s="40">
        <v>2021</v>
      </c>
      <c r="B6" s="49">
        <v>63401</v>
      </c>
    </row>
    <row r="7" spans="1:6" ht="16.149999999999999">
      <c r="A7" s="40">
        <v>2020</v>
      </c>
      <c r="B7" s="49">
        <v>56991</v>
      </c>
    </row>
    <row r="8" spans="1:6" ht="16.149999999999999">
      <c r="A8" s="40">
        <v>2019</v>
      </c>
      <c r="B8" s="49">
        <v>63734</v>
      </c>
    </row>
    <row r="9" spans="1:6" ht="16.149999999999999">
      <c r="A9" s="40">
        <v>2018</v>
      </c>
      <c r="B9" s="49">
        <v>60040</v>
      </c>
    </row>
    <row r="10" spans="1:6" ht="16.149999999999999">
      <c r="A10" s="40">
        <v>2017</v>
      </c>
      <c r="B10" s="49">
        <v>52297</v>
      </c>
    </row>
    <row r="11" spans="1:6" ht="16.149999999999999">
      <c r="A11" s="40">
        <v>2016</v>
      </c>
      <c r="B11" s="49">
        <v>43175</v>
      </c>
    </row>
    <row r="12" spans="1:6" ht="16.149999999999999">
      <c r="A12" s="40">
        <v>2015</v>
      </c>
      <c r="B12" s="49">
        <v>37709</v>
      </c>
    </row>
    <row r="13" spans="1:6" ht="14.45" customHeight="1">
      <c r="A13" s="24" t="s">
        <v>357</v>
      </c>
      <c r="B13" s="192"/>
      <c r="C13" s="192"/>
    </row>
    <row r="14" spans="1:6" ht="14.45" customHeight="1">
      <c r="A14" s="24" t="s">
        <v>312</v>
      </c>
      <c r="B14" s="191"/>
      <c r="C14" s="191"/>
    </row>
    <row r="15" spans="1:6" ht="14.45" customHeight="1">
      <c r="A15" s="24" t="s">
        <v>358</v>
      </c>
      <c r="B15" s="191"/>
      <c r="C15" s="191"/>
    </row>
    <row r="16" spans="1:6">
      <c r="A16" s="109" t="s">
        <v>359</v>
      </c>
    </row>
    <row r="17" spans="1:2">
      <c r="A17" s="109" t="s">
        <v>360</v>
      </c>
    </row>
    <row r="19" spans="1:2">
      <c r="B19" s="146"/>
    </row>
  </sheetData>
  <mergeCells count="1">
    <mergeCell ref="A1:B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627BF-A616-45D0-8903-52DF9822AFB8}">
  <dimension ref="A1:D74"/>
  <sheetViews>
    <sheetView topLeftCell="A40" workbookViewId="0">
      <selection activeCell="A34" sqref="A34:D34"/>
    </sheetView>
  </sheetViews>
  <sheetFormatPr defaultRowHeight="14.45"/>
  <cols>
    <col min="1" max="1" width="34.42578125" customWidth="1"/>
    <col min="2" max="2" width="19.140625" customWidth="1"/>
    <col min="3" max="3" width="42.7109375" bestFit="1" customWidth="1"/>
    <col min="4" max="4" width="36.85546875" customWidth="1"/>
  </cols>
  <sheetData>
    <row r="1" spans="1:4" ht="56.25" customHeight="1">
      <c r="A1" s="403" t="s">
        <v>361</v>
      </c>
      <c r="B1" s="403"/>
      <c r="C1" s="403"/>
      <c r="D1" s="403"/>
    </row>
    <row r="2" spans="1:4" ht="16.149999999999999">
      <c r="A2" s="71" t="s">
        <v>316</v>
      </c>
      <c r="B2" s="71" t="s">
        <v>180</v>
      </c>
      <c r="C2" s="71" t="s">
        <v>317</v>
      </c>
      <c r="D2" s="71" t="s">
        <v>318</v>
      </c>
    </row>
    <row r="3" spans="1:4" ht="16.149999999999999">
      <c r="A3" s="72" t="s">
        <v>163</v>
      </c>
      <c r="B3" s="17">
        <f>SUM(B4:B30)</f>
        <v>71892</v>
      </c>
      <c r="C3" s="17">
        <v>108921464</v>
      </c>
      <c r="D3" s="87">
        <f t="shared" ref="D3:D30" si="0">(B3/C3)*100000</f>
        <v>66.003519747035355</v>
      </c>
    </row>
    <row r="4" spans="1:4" ht="16.149999999999999">
      <c r="A4" s="287" t="s">
        <v>319</v>
      </c>
      <c r="B4" s="295">
        <v>698</v>
      </c>
      <c r="C4" s="22">
        <v>438884</v>
      </c>
      <c r="D4" s="382">
        <f t="shared" si="0"/>
        <v>159.03974626552804</v>
      </c>
    </row>
    <row r="5" spans="1:4" ht="16.149999999999999">
      <c r="A5" s="31" t="s">
        <v>320</v>
      </c>
      <c r="B5" s="88">
        <v>776</v>
      </c>
      <c r="C5" s="22">
        <v>1667559</v>
      </c>
      <c r="D5" s="382">
        <f t="shared" si="0"/>
        <v>46.535085115429197</v>
      </c>
    </row>
    <row r="6" spans="1:4" ht="16.149999999999999">
      <c r="A6" s="31" t="s">
        <v>321</v>
      </c>
      <c r="B6" s="88">
        <v>580</v>
      </c>
      <c r="C6" s="22">
        <v>401255</v>
      </c>
      <c r="D6" s="382">
        <f t="shared" si="0"/>
        <v>144.54648540205105</v>
      </c>
    </row>
    <row r="7" spans="1:4" ht="16.149999999999999">
      <c r="A7" s="31" t="s">
        <v>322</v>
      </c>
      <c r="B7" s="88">
        <v>1355</v>
      </c>
      <c r="C7" s="22">
        <v>2129205</v>
      </c>
      <c r="D7" s="382">
        <f t="shared" si="0"/>
        <v>63.638775975070502</v>
      </c>
    </row>
    <row r="8" spans="1:4" ht="16.149999999999999">
      <c r="A8" s="31" t="s">
        <v>323</v>
      </c>
      <c r="B8" s="88">
        <v>4015</v>
      </c>
      <c r="C8" s="22">
        <v>7632196</v>
      </c>
      <c r="D8" s="382">
        <f t="shared" si="0"/>
        <v>52.606091352999847</v>
      </c>
    </row>
    <row r="9" spans="1:4" ht="16.149999999999999">
      <c r="A9" s="31" t="s">
        <v>324</v>
      </c>
      <c r="B9" s="88">
        <v>1756</v>
      </c>
      <c r="C9" s="22">
        <v>4749310</v>
      </c>
      <c r="D9" s="382">
        <f t="shared" si="0"/>
        <v>36.973791982414291</v>
      </c>
    </row>
    <row r="10" spans="1:4" ht="16.149999999999999">
      <c r="A10" s="31" t="s">
        <v>325</v>
      </c>
      <c r="B10" s="88">
        <v>672</v>
      </c>
      <c r="C10" s="22">
        <v>1557961</v>
      </c>
      <c r="D10" s="382">
        <f t="shared" si="0"/>
        <v>43.13330051265725</v>
      </c>
    </row>
    <row r="11" spans="1:4" ht="16.149999999999999">
      <c r="A11" s="31" t="s">
        <v>326</v>
      </c>
      <c r="B11" s="88">
        <v>1532</v>
      </c>
      <c r="C11" s="22">
        <v>2092956</v>
      </c>
      <c r="D11" s="382">
        <f t="shared" si="0"/>
        <v>73.197907648321319</v>
      </c>
    </row>
    <row r="12" spans="1:4" ht="16.149999999999999">
      <c r="A12" s="31" t="s">
        <v>327</v>
      </c>
      <c r="B12" s="88">
        <v>3369</v>
      </c>
      <c r="C12" s="22">
        <v>3721543</v>
      </c>
      <c r="D12" s="382">
        <f t="shared" si="0"/>
        <v>90.526966905931218</v>
      </c>
    </row>
    <row r="13" spans="1:4" ht="16.149999999999999">
      <c r="A13" s="31" t="s">
        <v>328</v>
      </c>
      <c r="B13" s="88">
        <v>1610</v>
      </c>
      <c r="C13" s="22">
        <v>3553820</v>
      </c>
      <c r="D13" s="382">
        <f t="shared" si="0"/>
        <v>45.303363704408213</v>
      </c>
    </row>
    <row r="14" spans="1:4" ht="16.149999999999999">
      <c r="A14" s="31" t="s">
        <v>362</v>
      </c>
      <c r="B14" s="88">
        <v>2360</v>
      </c>
      <c r="C14" s="22">
        <v>1904239</v>
      </c>
      <c r="D14" s="382">
        <f t="shared" si="0"/>
        <v>123.9340229876607</v>
      </c>
    </row>
    <row r="15" spans="1:4" ht="16.149999999999999">
      <c r="A15" s="31" t="s">
        <v>330</v>
      </c>
      <c r="B15" s="88">
        <v>1968</v>
      </c>
      <c r="C15" s="22">
        <v>1464566</v>
      </c>
      <c r="D15" s="382">
        <f t="shared" si="0"/>
        <v>134.37427879658546</v>
      </c>
    </row>
    <row r="16" spans="1:4" ht="16.149999999999999">
      <c r="A16" s="31" t="s">
        <v>331</v>
      </c>
      <c r="B16" s="88">
        <v>4612</v>
      </c>
      <c r="C16" s="22">
        <v>10866275</v>
      </c>
      <c r="D16" s="382">
        <f t="shared" si="0"/>
        <v>42.443247571039755</v>
      </c>
    </row>
    <row r="17" spans="1:4" ht="16.149999999999999">
      <c r="A17" s="31" t="s">
        <v>332</v>
      </c>
      <c r="B17" s="88">
        <v>4898</v>
      </c>
      <c r="C17" s="22">
        <v>4313795</v>
      </c>
      <c r="D17" s="382">
        <f t="shared" si="0"/>
        <v>113.5427158685102</v>
      </c>
    </row>
    <row r="18" spans="1:4" ht="16.149999999999999">
      <c r="A18" s="31" t="s">
        <v>333</v>
      </c>
      <c r="B18" s="88">
        <v>1039</v>
      </c>
      <c r="C18" s="22">
        <v>2138409</v>
      </c>
      <c r="D18" s="382">
        <f t="shared" si="0"/>
        <v>48.587524650335837</v>
      </c>
    </row>
    <row r="19" spans="1:4" ht="16.149999999999999">
      <c r="A19" s="31" t="s">
        <v>334</v>
      </c>
      <c r="B19" s="88">
        <v>5922</v>
      </c>
      <c r="C19" s="22">
        <v>6046638</v>
      </c>
      <c r="D19" s="382">
        <f t="shared" si="0"/>
        <v>97.938722311472915</v>
      </c>
    </row>
    <row r="20" spans="1:4" ht="16.149999999999999">
      <c r="A20" s="31" t="s">
        <v>335</v>
      </c>
      <c r="B20" s="88">
        <v>2298</v>
      </c>
      <c r="C20" s="22">
        <v>4956611</v>
      </c>
      <c r="D20" s="382">
        <f t="shared" si="0"/>
        <v>46.362322966236405</v>
      </c>
    </row>
    <row r="21" spans="1:4" ht="16.149999999999999">
      <c r="A21" s="31" t="s">
        <v>336</v>
      </c>
      <c r="B21" s="88">
        <v>1204</v>
      </c>
      <c r="C21" s="22">
        <v>1724357</v>
      </c>
      <c r="D21" s="382">
        <f t="shared" si="0"/>
        <v>69.823128273321601</v>
      </c>
    </row>
    <row r="22" spans="1:4" ht="16.149999999999999">
      <c r="A22" s="31" t="s">
        <v>337</v>
      </c>
      <c r="B22" s="88">
        <v>5013</v>
      </c>
      <c r="C22" s="22">
        <v>9035062</v>
      </c>
      <c r="D22" s="382">
        <f t="shared" si="0"/>
        <v>55.483847260815701</v>
      </c>
    </row>
    <row r="23" spans="1:4" ht="16.149999999999999">
      <c r="A23" s="31" t="s">
        <v>338</v>
      </c>
      <c r="B23" s="88">
        <v>1101</v>
      </c>
      <c r="C23" s="22">
        <v>1768102</v>
      </c>
      <c r="D23" s="382">
        <f t="shared" si="0"/>
        <v>62.270163146696284</v>
      </c>
    </row>
    <row r="24" spans="1:4" ht="16.149999999999999">
      <c r="A24" s="31" t="s">
        <v>339</v>
      </c>
      <c r="B24" s="88">
        <v>4410</v>
      </c>
      <c r="C24" s="22">
        <v>5778778</v>
      </c>
      <c r="D24" s="382">
        <f t="shared" si="0"/>
        <v>76.313711999318883</v>
      </c>
    </row>
    <row r="25" spans="1:4" ht="16.149999999999999">
      <c r="A25" s="31" t="s">
        <v>340</v>
      </c>
      <c r="B25" s="88">
        <v>1314</v>
      </c>
      <c r="C25" s="22">
        <v>868133</v>
      </c>
      <c r="D25" s="382">
        <f t="shared" si="0"/>
        <v>151.35929632901869</v>
      </c>
    </row>
    <row r="26" spans="1:4" ht="16.149999999999999">
      <c r="A26" s="31" t="s">
        <v>341</v>
      </c>
      <c r="B26" s="88">
        <v>529</v>
      </c>
      <c r="C26" s="22">
        <v>352946</v>
      </c>
      <c r="D26" s="382">
        <f t="shared" si="0"/>
        <v>149.88128495577229</v>
      </c>
    </row>
    <row r="27" spans="1:4" ht="16.149999999999999">
      <c r="A27" s="31" t="s">
        <v>342</v>
      </c>
      <c r="B27" s="88">
        <v>3435</v>
      </c>
      <c r="C27" s="22">
        <v>4071859</v>
      </c>
      <c r="D27" s="382">
        <f t="shared" si="0"/>
        <v>84.359502625213693</v>
      </c>
    </row>
    <row r="28" spans="1:4" ht="16.149999999999999">
      <c r="A28" s="31" t="s">
        <v>343</v>
      </c>
      <c r="B28" s="88">
        <v>13790</v>
      </c>
      <c r="C28" s="22">
        <v>23715051</v>
      </c>
      <c r="D28" s="382">
        <f t="shared" si="0"/>
        <v>58.148725887201337</v>
      </c>
    </row>
    <row r="29" spans="1:4" ht="16.149999999999999">
      <c r="A29" s="31" t="s">
        <v>344</v>
      </c>
      <c r="B29" s="88">
        <v>655</v>
      </c>
      <c r="C29" s="22">
        <v>1188432</v>
      </c>
      <c r="D29" s="382">
        <f t="shared" si="0"/>
        <v>55.114638447971778</v>
      </c>
    </row>
    <row r="30" spans="1:4" ht="16.149999999999999">
      <c r="A30" s="31" t="s">
        <v>345</v>
      </c>
      <c r="B30" s="88">
        <v>981</v>
      </c>
      <c r="C30" s="22">
        <v>783522</v>
      </c>
      <c r="D30" s="382">
        <f t="shared" si="0"/>
        <v>125.20388706379654</v>
      </c>
    </row>
    <row r="31" spans="1:4">
      <c r="A31" s="396" t="s">
        <v>353</v>
      </c>
      <c r="B31" s="421"/>
      <c r="C31" s="421"/>
      <c r="D31" s="421"/>
    </row>
    <row r="32" spans="1:4">
      <c r="A32" s="396" t="s">
        <v>312</v>
      </c>
      <c r="B32" s="396"/>
      <c r="C32" s="396"/>
      <c r="D32" s="396"/>
    </row>
    <row r="33" spans="1:4">
      <c r="A33" s="420" t="s">
        <v>358</v>
      </c>
      <c r="B33" s="423"/>
      <c r="C33" s="423"/>
      <c r="D33" s="423"/>
    </row>
    <row r="34" spans="1:4" ht="15" customHeight="1">
      <c r="A34" s="420" t="s">
        <v>359</v>
      </c>
      <c r="B34" s="423"/>
      <c r="C34" s="423"/>
      <c r="D34" s="423"/>
    </row>
    <row r="35" spans="1:4">
      <c r="A35" s="420" t="s">
        <v>360</v>
      </c>
      <c r="B35" s="423"/>
      <c r="C35" s="423"/>
      <c r="D35" s="423"/>
    </row>
    <row r="40" spans="1:4" ht="41.25" customHeight="1">
      <c r="A40" s="403" t="s">
        <v>363</v>
      </c>
      <c r="B40" s="403"/>
      <c r="C40" s="403"/>
      <c r="D40" s="403"/>
    </row>
    <row r="41" spans="1:4" ht="16.149999999999999">
      <c r="A41" s="71" t="s">
        <v>316</v>
      </c>
      <c r="B41" s="71" t="s">
        <v>180</v>
      </c>
      <c r="C41" s="71" t="s">
        <v>317</v>
      </c>
      <c r="D41" s="71" t="s">
        <v>318</v>
      </c>
    </row>
    <row r="42" spans="1:4" ht="16.149999999999999">
      <c r="A42" s="72" t="s">
        <v>163</v>
      </c>
      <c r="B42" s="17">
        <f>SUM(B43:B69)</f>
        <v>72939</v>
      </c>
      <c r="C42" s="17">
        <v>108443605</v>
      </c>
      <c r="D42" s="87">
        <f>(B42/C42)*100000</f>
        <v>67.259844414062044</v>
      </c>
    </row>
    <row r="43" spans="1:4" ht="16.149999999999999">
      <c r="A43" s="287" t="s">
        <v>319</v>
      </c>
      <c r="B43" s="295">
        <v>671</v>
      </c>
      <c r="C43" s="296">
        <v>436943</v>
      </c>
      <c r="D43" s="85">
        <f>(B43/C43)*100000</f>
        <v>153.56694122574339</v>
      </c>
    </row>
    <row r="44" spans="1:4" ht="16.149999999999999">
      <c r="A44" s="31" t="s">
        <v>320</v>
      </c>
      <c r="B44" s="88">
        <v>745</v>
      </c>
      <c r="C44" s="22">
        <v>1666403</v>
      </c>
      <c r="D44" s="86">
        <f t="shared" ref="D44" si="1">(B44/C44)*100000</f>
        <v>44.707072658894639</v>
      </c>
    </row>
    <row r="45" spans="1:4" ht="16.149999999999999">
      <c r="A45" s="31" t="s">
        <v>321</v>
      </c>
      <c r="B45" s="88">
        <v>451</v>
      </c>
      <c r="C45" s="22">
        <v>399205</v>
      </c>
      <c r="D45" s="86">
        <f>(B45/C45)*100000</f>
        <v>112.974536892073</v>
      </c>
    </row>
    <row r="46" spans="1:4" ht="16.149999999999999">
      <c r="A46" s="31" t="s">
        <v>322</v>
      </c>
      <c r="B46" s="88">
        <v>951</v>
      </c>
      <c r="C46" s="22">
        <v>2109003</v>
      </c>
      <c r="D46" s="86">
        <f t="shared" ref="D46:D69" si="2">(B46/C46)*100000</f>
        <v>45.092396739122698</v>
      </c>
    </row>
    <row r="47" spans="1:4" ht="16.149999999999999">
      <c r="A47" s="31" t="s">
        <v>323</v>
      </c>
      <c r="B47" s="88">
        <v>4536</v>
      </c>
      <c r="C47" s="22">
        <v>7617375</v>
      </c>
      <c r="D47" s="86">
        <f t="shared" si="2"/>
        <v>59.548072662826769</v>
      </c>
    </row>
    <row r="48" spans="1:4" ht="16.149999999999999">
      <c r="A48" s="31" t="s">
        <v>324</v>
      </c>
      <c r="B48" s="88">
        <v>1855</v>
      </c>
      <c r="C48" s="22">
        <v>4730055</v>
      </c>
      <c r="D48" s="86">
        <f t="shared" si="2"/>
        <v>39.217302970050028</v>
      </c>
    </row>
    <row r="49" spans="1:4" ht="16.149999999999999">
      <c r="A49" s="31" t="s">
        <v>325</v>
      </c>
      <c r="B49" s="88">
        <v>719</v>
      </c>
      <c r="C49" s="22">
        <v>1549407</v>
      </c>
      <c r="D49" s="86">
        <f t="shared" si="2"/>
        <v>46.404850371787397</v>
      </c>
    </row>
    <row r="50" spans="1:4" ht="16.149999999999999">
      <c r="A50" s="31" t="s">
        <v>326</v>
      </c>
      <c r="B50" s="88">
        <v>1336</v>
      </c>
      <c r="C50" s="22">
        <v>2078813</v>
      </c>
      <c r="D50" s="86">
        <f t="shared" si="2"/>
        <v>64.267444931314174</v>
      </c>
    </row>
    <row r="51" spans="1:4" ht="16.149999999999999">
      <c r="A51" s="31" t="s">
        <v>327</v>
      </c>
      <c r="B51" s="88">
        <v>3361</v>
      </c>
      <c r="C51" s="22">
        <v>3681755</v>
      </c>
      <c r="D51" s="86">
        <f t="shared" si="2"/>
        <v>91.287986300011809</v>
      </c>
    </row>
    <row r="52" spans="1:4" ht="16.149999999999999">
      <c r="A52" s="31" t="s">
        <v>328</v>
      </c>
      <c r="B52" s="88">
        <v>1688</v>
      </c>
      <c r="C52" s="22">
        <v>3548427</v>
      </c>
      <c r="D52" s="86">
        <f t="shared" si="2"/>
        <v>47.570374140428989</v>
      </c>
    </row>
    <row r="53" spans="1:4" ht="16.149999999999999">
      <c r="A53" s="31" t="s">
        <v>362</v>
      </c>
      <c r="B53" s="88">
        <v>2226</v>
      </c>
      <c r="C53" s="22">
        <v>1873843</v>
      </c>
      <c r="D53" s="86">
        <f t="shared" si="2"/>
        <v>118.79330338774379</v>
      </c>
    </row>
    <row r="54" spans="1:4" ht="16.149999999999999">
      <c r="A54" s="31" t="s">
        <v>330</v>
      </c>
      <c r="B54" s="88">
        <v>2367</v>
      </c>
      <c r="C54" s="22">
        <v>1452267</v>
      </c>
      <c r="D54" s="86">
        <f t="shared" si="2"/>
        <v>162.98655825684946</v>
      </c>
    </row>
    <row r="55" spans="1:4" ht="16.149999999999999">
      <c r="A55" s="31" t="s">
        <v>331</v>
      </c>
      <c r="B55" s="88">
        <v>4278</v>
      </c>
      <c r="C55" s="22">
        <v>10825454</v>
      </c>
      <c r="D55" s="86">
        <f t="shared" si="2"/>
        <v>39.517973103021824</v>
      </c>
    </row>
    <row r="56" spans="1:4" ht="16.149999999999999">
      <c r="A56" s="31" t="s">
        <v>332</v>
      </c>
      <c r="B56" s="88">
        <v>5010</v>
      </c>
      <c r="C56" s="22">
        <v>4289392</v>
      </c>
      <c r="D56" s="86">
        <f t="shared" si="2"/>
        <v>116.79977022384526</v>
      </c>
    </row>
    <row r="57" spans="1:4" ht="16.149999999999999">
      <c r="A57" s="31" t="s">
        <v>333</v>
      </c>
      <c r="B57" s="88">
        <v>522</v>
      </c>
      <c r="C57" s="22">
        <v>2127839</v>
      </c>
      <c r="D57" s="86">
        <f t="shared" si="2"/>
        <v>24.531931222240029</v>
      </c>
    </row>
    <row r="58" spans="1:4" ht="16.149999999999999">
      <c r="A58" s="31" t="s">
        <v>334</v>
      </c>
      <c r="B58" s="88">
        <v>6505</v>
      </c>
      <c r="C58" s="22">
        <v>6007799</v>
      </c>
      <c r="D58" s="86">
        <f t="shared" si="2"/>
        <v>108.27592600884284</v>
      </c>
    </row>
    <row r="59" spans="1:4" ht="16.149999999999999">
      <c r="A59" s="31" t="s">
        <v>335</v>
      </c>
      <c r="B59" s="88">
        <v>2265</v>
      </c>
      <c r="C59" s="22">
        <v>4943748</v>
      </c>
      <c r="D59" s="86">
        <f t="shared" si="2"/>
        <v>45.815442049230668</v>
      </c>
    </row>
    <row r="60" spans="1:4" ht="16.149999999999999">
      <c r="A60" s="31" t="s">
        <v>336</v>
      </c>
      <c r="B60" s="88">
        <v>1014</v>
      </c>
      <c r="C60" s="22">
        <v>1718885</v>
      </c>
      <c r="D60" s="86">
        <f t="shared" si="2"/>
        <v>58.991730104108186</v>
      </c>
    </row>
    <row r="61" spans="1:4" ht="16.149999999999999">
      <c r="A61" s="31" t="s">
        <v>337</v>
      </c>
      <c r="B61" s="88">
        <v>4759</v>
      </c>
      <c r="C61" s="22">
        <v>9030956</v>
      </c>
      <c r="D61" s="86">
        <f t="shared" si="2"/>
        <v>52.696525151932981</v>
      </c>
    </row>
    <row r="62" spans="1:4" ht="16.149999999999999">
      <c r="A62" s="31" t="s">
        <v>338</v>
      </c>
      <c r="B62" s="88">
        <v>1157</v>
      </c>
      <c r="C62" s="22">
        <v>1762941</v>
      </c>
      <c r="D62" s="86">
        <f t="shared" si="2"/>
        <v>65.628968865095317</v>
      </c>
    </row>
    <row r="63" spans="1:4" ht="16.149999999999999">
      <c r="A63" s="31" t="s">
        <v>339</v>
      </c>
      <c r="B63" s="88">
        <v>5005</v>
      </c>
      <c r="C63" s="22">
        <v>5774114</v>
      </c>
      <c r="D63" s="86">
        <f t="shared" si="2"/>
        <v>86.679965099407468</v>
      </c>
    </row>
    <row r="64" spans="1:4" ht="16.149999999999999">
      <c r="A64" s="31" t="s">
        <v>340</v>
      </c>
      <c r="B64" s="88">
        <v>1523</v>
      </c>
      <c r="C64" s="22">
        <v>864583</v>
      </c>
      <c r="D64" s="86">
        <f t="shared" si="2"/>
        <v>176.15428478237484</v>
      </c>
    </row>
    <row r="65" spans="1:4" ht="16.149999999999999">
      <c r="A65" s="31" t="s">
        <v>341</v>
      </c>
      <c r="B65" s="88">
        <v>645</v>
      </c>
      <c r="C65" s="22">
        <v>342577</v>
      </c>
      <c r="D65" s="86">
        <f t="shared" si="2"/>
        <v>188.27883950177625</v>
      </c>
    </row>
    <row r="66" spans="1:4" ht="16.149999999999999">
      <c r="A66" s="31" t="s">
        <v>342</v>
      </c>
      <c r="B66" s="88">
        <v>3528</v>
      </c>
      <c r="C66" s="22">
        <v>4005280</v>
      </c>
      <c r="D66" s="86">
        <f t="shared" si="2"/>
        <v>88.083729477090245</v>
      </c>
    </row>
    <row r="67" spans="1:4" ht="16.149999999999999">
      <c r="A67" s="31" t="s">
        <v>343</v>
      </c>
      <c r="B67" s="88">
        <v>13537</v>
      </c>
      <c r="C67" s="22">
        <v>23645504</v>
      </c>
      <c r="D67" s="86">
        <f t="shared" si="2"/>
        <v>57.24978414501124</v>
      </c>
    </row>
    <row r="68" spans="1:4" ht="16.149999999999999">
      <c r="A68" s="31" t="s">
        <v>344</v>
      </c>
      <c r="B68" s="88">
        <v>817</v>
      </c>
      <c r="C68" s="22">
        <v>1183150</v>
      </c>
      <c r="D68" s="86">
        <f t="shared" si="2"/>
        <v>69.05295186578202</v>
      </c>
    </row>
    <row r="69" spans="1:4" ht="16.149999999999999">
      <c r="A69" s="31" t="s">
        <v>345</v>
      </c>
      <c r="B69" s="88">
        <v>1468</v>
      </c>
      <c r="C69" s="22">
        <v>777887</v>
      </c>
      <c r="D69" s="86">
        <f t="shared" si="2"/>
        <v>188.71635597458243</v>
      </c>
    </row>
    <row r="70" spans="1:4">
      <c r="A70" s="396" t="s">
        <v>353</v>
      </c>
      <c r="B70" s="421"/>
      <c r="C70" s="421"/>
      <c r="D70" s="421"/>
    </row>
    <row r="71" spans="1:4">
      <c r="A71" s="396" t="s">
        <v>312</v>
      </c>
      <c r="B71" s="396"/>
      <c r="C71" s="396"/>
      <c r="D71" s="396"/>
    </row>
    <row r="72" spans="1:4">
      <c r="A72" s="396" t="s">
        <v>358</v>
      </c>
      <c r="B72" s="396"/>
      <c r="C72" s="396"/>
      <c r="D72" s="396"/>
    </row>
    <row r="73" spans="1:4" ht="15" customHeight="1">
      <c r="A73" s="420" t="s">
        <v>359</v>
      </c>
      <c r="B73" s="420"/>
      <c r="C73" s="420"/>
      <c r="D73" s="420"/>
    </row>
    <row r="74" spans="1:4">
      <c r="A74" s="420" t="s">
        <v>360</v>
      </c>
      <c r="B74" s="420"/>
      <c r="C74" s="420"/>
      <c r="D74" s="420"/>
    </row>
  </sheetData>
  <mergeCells count="12">
    <mergeCell ref="A1:D1"/>
    <mergeCell ref="A31:D31"/>
    <mergeCell ref="A32:D32"/>
    <mergeCell ref="A33:D33"/>
    <mergeCell ref="A40:D40"/>
    <mergeCell ref="A34:D34"/>
    <mergeCell ref="A35:D35"/>
    <mergeCell ref="A74:D74"/>
    <mergeCell ref="A73:D73"/>
    <mergeCell ref="A70:D70"/>
    <mergeCell ref="A71:D71"/>
    <mergeCell ref="A72:D7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F2288-2989-4421-89E5-579C4EEE2A9E}">
  <dimension ref="A1:M26"/>
  <sheetViews>
    <sheetView topLeftCell="A3" workbookViewId="0">
      <selection activeCell="C35" sqref="C35"/>
    </sheetView>
  </sheetViews>
  <sheetFormatPr defaultRowHeight="14.45"/>
  <cols>
    <col min="1" max="1" width="23.42578125" customWidth="1"/>
    <col min="2" max="3" width="20" customWidth="1"/>
    <col min="4" max="4" width="20.85546875" customWidth="1"/>
    <col min="5" max="6" width="20" customWidth="1"/>
    <col min="7" max="7" width="21.42578125" customWidth="1"/>
    <col min="8" max="8" width="20" customWidth="1"/>
  </cols>
  <sheetData>
    <row r="1" spans="1:13" ht="68.45" customHeight="1">
      <c r="A1" s="424" t="s">
        <v>364</v>
      </c>
      <c r="B1" s="424"/>
      <c r="C1" s="424"/>
      <c r="D1" s="424"/>
      <c r="E1" s="424"/>
      <c r="F1" s="424"/>
      <c r="G1" s="424"/>
      <c r="H1" s="424"/>
      <c r="I1" s="89"/>
      <c r="J1" s="89"/>
      <c r="K1" s="89"/>
    </row>
    <row r="2" spans="1:13" ht="81">
      <c r="A2" s="90" t="s">
        <v>162</v>
      </c>
      <c r="B2" s="90" t="s">
        <v>365</v>
      </c>
      <c r="C2" s="90" t="s">
        <v>184</v>
      </c>
      <c r="D2" s="90" t="s">
        <v>366</v>
      </c>
      <c r="E2" s="90" t="s">
        <v>367</v>
      </c>
      <c r="F2" s="90" t="s">
        <v>368</v>
      </c>
      <c r="G2" s="90" t="s">
        <v>369</v>
      </c>
      <c r="H2" s="90" t="s">
        <v>184</v>
      </c>
      <c r="I2" s="89"/>
      <c r="J2" s="89"/>
      <c r="K2" s="89"/>
    </row>
    <row r="3" spans="1:13" ht="16.149999999999999">
      <c r="A3" s="91" t="s">
        <v>163</v>
      </c>
      <c r="B3" s="99">
        <v>28770</v>
      </c>
      <c r="C3" s="92">
        <v>100</v>
      </c>
      <c r="D3" s="101">
        <v>30546</v>
      </c>
      <c r="E3" s="92">
        <v>100</v>
      </c>
      <c r="F3" s="92">
        <f>B3/D3*100</f>
        <v>94.185818110390883</v>
      </c>
      <c r="G3" s="93">
        <v>125</v>
      </c>
      <c r="H3" s="92">
        <v>100</v>
      </c>
      <c r="I3" s="94"/>
      <c r="J3" s="94"/>
      <c r="K3" s="94"/>
    </row>
    <row r="4" spans="1:13" ht="16.149999999999999">
      <c r="A4" s="95" t="s">
        <v>164</v>
      </c>
      <c r="B4" s="20">
        <v>1764</v>
      </c>
      <c r="C4" s="21">
        <f>B4*100/B3</f>
        <v>6.1313868613138682</v>
      </c>
      <c r="D4" s="100">
        <v>2474</v>
      </c>
      <c r="E4" s="21">
        <v>8.09</v>
      </c>
      <c r="F4" s="21">
        <f t="shared" ref="F4:F8" si="0">B4/D4*100</f>
        <v>71.301535974130957</v>
      </c>
      <c r="G4" s="96">
        <v>16</v>
      </c>
      <c r="H4" s="21">
        <f>G4/G3*100</f>
        <v>12.8</v>
      </c>
      <c r="I4" s="89"/>
      <c r="J4" s="89"/>
      <c r="K4" s="89"/>
    </row>
    <row r="5" spans="1:13" ht="16.149999999999999">
      <c r="A5" s="95" t="s">
        <v>165</v>
      </c>
      <c r="B5" s="100">
        <v>4171</v>
      </c>
      <c r="C5" s="195">
        <v>14.49</v>
      </c>
      <c r="D5" s="100">
        <v>4570</v>
      </c>
      <c r="E5" s="195">
        <v>14.96</v>
      </c>
      <c r="F5" s="195">
        <f t="shared" si="0"/>
        <v>91.269146608315097</v>
      </c>
      <c r="G5" s="96">
        <v>23</v>
      </c>
      <c r="H5" s="195">
        <f>G5/G3*100</f>
        <v>18.399999999999999</v>
      </c>
      <c r="I5" s="89"/>
      <c r="J5" s="89"/>
      <c r="K5" s="89"/>
    </row>
    <row r="6" spans="1:13" ht="16.149999999999999">
      <c r="A6" s="95" t="s">
        <v>166</v>
      </c>
      <c r="B6" s="100">
        <v>14164</v>
      </c>
      <c r="C6" s="195">
        <v>49.23</v>
      </c>
      <c r="D6" s="100">
        <v>16050</v>
      </c>
      <c r="E6" s="195">
        <v>52.54</v>
      </c>
      <c r="F6" s="195">
        <f t="shared" si="0"/>
        <v>88.249221183800614</v>
      </c>
      <c r="G6" s="96">
        <v>38</v>
      </c>
      <c r="H6" s="195">
        <f>G6/G3*100</f>
        <v>30.4</v>
      </c>
      <c r="I6" s="89"/>
      <c r="J6" s="89"/>
      <c r="K6" s="89"/>
    </row>
    <row r="7" spans="1:13" ht="16.149999999999999">
      <c r="A7" s="95" t="s">
        <v>185</v>
      </c>
      <c r="B7" s="100">
        <v>5300</v>
      </c>
      <c r="C7" s="195">
        <v>18.420000000000002</v>
      </c>
      <c r="D7" s="100">
        <v>4245</v>
      </c>
      <c r="E7" s="195">
        <v>13.89</v>
      </c>
      <c r="F7" s="195">
        <f>B7/D7*100</f>
        <v>124.8527679623086</v>
      </c>
      <c r="G7" s="96">
        <v>25</v>
      </c>
      <c r="H7" s="195">
        <f>G7/G3*100</f>
        <v>20</v>
      </c>
      <c r="I7" s="89"/>
      <c r="J7" s="89"/>
      <c r="K7" s="89"/>
    </row>
    <row r="8" spans="1:13" ht="16.149999999999999">
      <c r="A8" s="95" t="s">
        <v>168</v>
      </c>
      <c r="B8" s="100">
        <v>3371</v>
      </c>
      <c r="C8" s="195">
        <v>11.71</v>
      </c>
      <c r="D8" s="100">
        <v>3207</v>
      </c>
      <c r="E8" s="195">
        <v>10.49</v>
      </c>
      <c r="F8" s="195">
        <f t="shared" si="0"/>
        <v>105.1138135328968</v>
      </c>
      <c r="G8" s="96">
        <v>23</v>
      </c>
      <c r="H8" s="195">
        <f>G8/G3*100</f>
        <v>18.399999999999999</v>
      </c>
      <c r="I8" s="89"/>
      <c r="J8" s="89"/>
      <c r="K8" s="89"/>
    </row>
    <row r="9" spans="1:13">
      <c r="A9" s="24" t="s">
        <v>370</v>
      </c>
      <c r="B9" s="26"/>
      <c r="C9" s="26"/>
      <c r="D9" s="97"/>
      <c r="E9" s="26"/>
      <c r="F9" s="26"/>
      <c r="G9" s="26"/>
      <c r="H9" s="26"/>
      <c r="I9" s="26"/>
      <c r="J9" s="26"/>
      <c r="K9" s="26"/>
    </row>
    <row r="10" spans="1:13" ht="30" customHeight="1">
      <c r="A10" s="426" t="s">
        <v>371</v>
      </c>
      <c r="B10" s="427"/>
      <c r="C10" s="427"/>
      <c r="D10" s="427"/>
      <c r="E10" s="427"/>
      <c r="F10" s="427"/>
      <c r="G10" s="427"/>
      <c r="H10" s="427"/>
      <c r="I10" s="199"/>
      <c r="J10" s="389"/>
      <c r="K10" s="389"/>
      <c r="L10" s="390"/>
      <c r="M10" s="390"/>
    </row>
    <row r="11" spans="1:13">
      <c r="A11" s="425"/>
      <c r="B11" s="425"/>
      <c r="C11" s="425"/>
      <c r="D11" s="425"/>
      <c r="E11" s="425"/>
      <c r="F11" s="425"/>
      <c r="G11" s="425"/>
      <c r="H11" s="425"/>
      <c r="I11" s="425"/>
      <c r="J11" s="390"/>
      <c r="K11" s="391"/>
      <c r="L11" s="390"/>
      <c r="M11" s="390"/>
    </row>
    <row r="12" spans="1:13">
      <c r="J12" s="390"/>
      <c r="K12" s="390"/>
      <c r="L12" s="390"/>
      <c r="M12" s="390"/>
    </row>
    <row r="13" spans="1:13">
      <c r="J13" s="390"/>
      <c r="K13" s="390"/>
      <c r="L13" s="390"/>
      <c r="M13" s="390"/>
    </row>
    <row r="14" spans="1:13">
      <c r="J14" s="390"/>
      <c r="K14" s="390"/>
      <c r="L14" s="390"/>
      <c r="M14" s="390"/>
    </row>
    <row r="15" spans="1:13">
      <c r="J15" s="390"/>
      <c r="K15" s="390"/>
      <c r="L15" s="390"/>
      <c r="M15" s="390"/>
    </row>
    <row r="16" spans="1:13" ht="54.75" customHeight="1">
      <c r="A16" s="424" t="s">
        <v>372</v>
      </c>
      <c r="B16" s="424"/>
      <c r="C16" s="424"/>
      <c r="D16" s="424"/>
      <c r="E16" s="424"/>
      <c r="F16" s="424"/>
      <c r="G16" s="424"/>
      <c r="H16" s="424"/>
      <c r="I16" s="89"/>
      <c r="J16" s="89"/>
      <c r="K16" s="89"/>
    </row>
    <row r="17" spans="1:11" ht="81">
      <c r="A17" s="90" t="s">
        <v>162</v>
      </c>
      <c r="B17" s="90" t="s">
        <v>365</v>
      </c>
      <c r="C17" s="90" t="s">
        <v>184</v>
      </c>
      <c r="D17" s="90" t="s">
        <v>366</v>
      </c>
      <c r="E17" s="90" t="s">
        <v>367</v>
      </c>
      <c r="F17" s="90" t="s">
        <v>368</v>
      </c>
      <c r="G17" s="90" t="s">
        <v>369</v>
      </c>
      <c r="H17" s="90" t="s">
        <v>184</v>
      </c>
      <c r="I17" s="89"/>
      <c r="J17" s="89"/>
      <c r="K17" s="89"/>
    </row>
    <row r="18" spans="1:11" ht="16.149999999999999">
      <c r="A18" s="91" t="s">
        <v>163</v>
      </c>
      <c r="B18" s="99">
        <v>26876</v>
      </c>
      <c r="C18" s="92">
        <v>100</v>
      </c>
      <c r="D18" s="101">
        <v>31938</v>
      </c>
      <c r="E18" s="92">
        <v>100</v>
      </c>
      <c r="F18" s="92">
        <f>0.841505416744943*100</f>
        <v>84.150541674494292</v>
      </c>
      <c r="G18" s="93">
        <v>125</v>
      </c>
      <c r="H18" s="92">
        <v>100</v>
      </c>
      <c r="I18" s="94"/>
      <c r="J18" s="94"/>
      <c r="K18" s="94"/>
    </row>
    <row r="19" spans="1:11" ht="16.149999999999999">
      <c r="A19" s="95" t="s">
        <v>164</v>
      </c>
      <c r="B19" s="20">
        <v>1692</v>
      </c>
      <c r="C19" s="21">
        <v>6.2955796993600242</v>
      </c>
      <c r="D19" s="100">
        <v>2467</v>
      </c>
      <c r="E19" s="21">
        <v>7.7243409105141216</v>
      </c>
      <c r="F19" s="98">
        <f>0.685853263072558*100</f>
        <v>68.585326307255798</v>
      </c>
      <c r="G19" s="96">
        <v>16</v>
      </c>
      <c r="H19" s="98">
        <v>12.8</v>
      </c>
      <c r="I19" s="89"/>
      <c r="J19" s="89"/>
      <c r="K19" s="89"/>
    </row>
    <row r="20" spans="1:11" ht="16.149999999999999">
      <c r="A20" s="95" t="s">
        <v>165</v>
      </c>
      <c r="B20" s="100">
        <v>3820</v>
      </c>
      <c r="C20" s="21">
        <v>14.213424616758447</v>
      </c>
      <c r="D20" s="100">
        <v>4622</v>
      </c>
      <c r="E20" s="21">
        <v>14.471789091364517</v>
      </c>
      <c r="F20" s="98">
        <f>0.826482042405885*100</f>
        <v>82.648204240588498</v>
      </c>
      <c r="G20" s="96">
        <v>21</v>
      </c>
      <c r="H20" s="98">
        <v>16.8</v>
      </c>
      <c r="I20" s="89"/>
      <c r="J20" s="89"/>
      <c r="K20" s="89"/>
    </row>
    <row r="21" spans="1:11" ht="16.149999999999999">
      <c r="A21" s="95" t="s">
        <v>166</v>
      </c>
      <c r="B21" s="100">
        <v>13589</v>
      </c>
      <c r="C21" s="21">
        <v>50.561839559458257</v>
      </c>
      <c r="D21" s="100">
        <v>17039</v>
      </c>
      <c r="E21" s="21">
        <v>53.350241092115979</v>
      </c>
      <c r="F21" s="98">
        <f>0.797523328833852*100</f>
        <v>79.752332883385208</v>
      </c>
      <c r="G21" s="96">
        <v>39</v>
      </c>
      <c r="H21" s="98">
        <v>31.2</v>
      </c>
      <c r="I21" s="89"/>
      <c r="J21" s="89"/>
      <c r="K21" s="89"/>
    </row>
    <row r="22" spans="1:11" ht="16.149999999999999">
      <c r="A22" s="95" t="s">
        <v>185</v>
      </c>
      <c r="B22" s="100">
        <v>4584</v>
      </c>
      <c r="C22" s="21">
        <v>17.056109540110135</v>
      </c>
      <c r="D22" s="100">
        <v>4463</v>
      </c>
      <c r="E22" s="21">
        <v>13.973949527208967</v>
      </c>
      <c r="F22" s="98">
        <f>1.02711180820076*100</f>
        <v>102.711180820076</v>
      </c>
      <c r="G22" s="96">
        <v>24</v>
      </c>
      <c r="H22" s="98">
        <v>19.2</v>
      </c>
      <c r="I22" s="89"/>
      <c r="J22" s="89"/>
      <c r="K22" s="89"/>
    </row>
    <row r="23" spans="1:11" ht="16.149999999999999">
      <c r="A23" s="95" t="s">
        <v>168</v>
      </c>
      <c r="B23" s="100">
        <v>3191</v>
      </c>
      <c r="C23" s="21">
        <v>11.873046584313142</v>
      </c>
      <c r="D23" s="100" t="s">
        <v>373</v>
      </c>
      <c r="E23" s="21">
        <v>10.479679378796417</v>
      </c>
      <c r="F23" s="98">
        <f>0.953391096504332*100</f>
        <v>95.339109650433201</v>
      </c>
      <c r="G23" s="96">
        <v>25</v>
      </c>
      <c r="H23" s="98">
        <v>20</v>
      </c>
      <c r="I23" s="89"/>
      <c r="J23" s="89"/>
      <c r="K23" s="89"/>
    </row>
    <row r="24" spans="1:11" ht="15">
      <c r="A24" s="24" t="s">
        <v>370</v>
      </c>
      <c r="B24" s="26"/>
      <c r="C24" s="26"/>
      <c r="D24" s="97"/>
      <c r="E24" s="26"/>
      <c r="F24" s="26"/>
      <c r="G24" s="26"/>
      <c r="H24" s="26"/>
      <c r="I24" s="26"/>
      <c r="J24" s="26"/>
      <c r="K24" s="26"/>
    </row>
    <row r="25" spans="1:11" ht="48" customHeight="1">
      <c r="A25" s="427" t="s">
        <v>374</v>
      </c>
      <c r="B25" s="427"/>
      <c r="C25" s="427"/>
      <c r="D25" s="427"/>
      <c r="E25" s="427"/>
      <c r="F25" s="427"/>
      <c r="G25" s="427"/>
      <c r="H25" s="427"/>
      <c r="I25" s="199"/>
      <c r="J25" s="199"/>
      <c r="K25" s="199"/>
    </row>
    <row r="26" spans="1:11" ht="15"/>
  </sheetData>
  <mergeCells count="5">
    <mergeCell ref="A1:H1"/>
    <mergeCell ref="A16:H16"/>
    <mergeCell ref="A11:I11"/>
    <mergeCell ref="A10:H10"/>
    <mergeCell ref="A25:H25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DF3F6-F8F2-48ED-845D-58EFBD3AE8AC}">
  <dimension ref="A1:K27"/>
  <sheetViews>
    <sheetView topLeftCell="A4" workbookViewId="0">
      <selection activeCell="A10" sqref="A10:H10"/>
    </sheetView>
  </sheetViews>
  <sheetFormatPr defaultRowHeight="14.45"/>
  <cols>
    <col min="1" max="7" width="22.28515625" customWidth="1"/>
    <col min="8" max="8" width="20.7109375" customWidth="1"/>
  </cols>
  <sheetData>
    <row r="1" spans="1:11" ht="63" customHeight="1">
      <c r="A1" s="400" t="s">
        <v>375</v>
      </c>
      <c r="B1" s="400"/>
      <c r="C1" s="400"/>
      <c r="D1" s="400"/>
      <c r="E1" s="400"/>
      <c r="F1" s="400"/>
      <c r="G1" s="400"/>
      <c r="H1" s="400"/>
      <c r="I1" s="102"/>
      <c r="J1" s="102"/>
      <c r="K1" s="102"/>
    </row>
    <row r="2" spans="1:11" ht="64.900000000000006">
      <c r="A2" s="103" t="s">
        <v>162</v>
      </c>
      <c r="B2" s="103" t="s">
        <v>376</v>
      </c>
      <c r="C2" s="103" t="s">
        <v>184</v>
      </c>
      <c r="D2" s="103" t="s">
        <v>377</v>
      </c>
      <c r="E2" s="103" t="s">
        <v>367</v>
      </c>
      <c r="F2" s="103" t="s">
        <v>368</v>
      </c>
      <c r="G2" s="103" t="s">
        <v>378</v>
      </c>
      <c r="H2" s="103" t="s">
        <v>184</v>
      </c>
      <c r="I2" s="102"/>
      <c r="J2" s="102"/>
      <c r="K2" s="102"/>
    </row>
    <row r="3" spans="1:11" ht="16.149999999999999">
      <c r="A3" s="104" t="s">
        <v>163</v>
      </c>
      <c r="B3" s="99">
        <v>635136</v>
      </c>
      <c r="C3" s="105">
        <v>100</v>
      </c>
      <c r="D3" s="99">
        <v>459445</v>
      </c>
      <c r="E3" s="105">
        <v>100</v>
      </c>
      <c r="F3" s="105">
        <f t="shared" ref="F3:F8" si="0">B3/D3*100</f>
        <v>138.23983284179826</v>
      </c>
      <c r="G3" s="99">
        <v>1164</v>
      </c>
      <c r="H3" s="105">
        <v>100</v>
      </c>
      <c r="I3" s="106"/>
      <c r="J3" s="106"/>
      <c r="K3" s="106"/>
    </row>
    <row r="4" spans="1:11" ht="16.149999999999999">
      <c r="A4" s="107" t="s">
        <v>164</v>
      </c>
      <c r="B4" s="20">
        <v>42002</v>
      </c>
      <c r="C4" s="112">
        <f>B4*100/$B$3</f>
        <v>6.6130718460298263</v>
      </c>
      <c r="D4" s="20">
        <v>33952</v>
      </c>
      <c r="E4" s="112">
        <f>D4/$D$3*100</f>
        <v>7.3897855020731544</v>
      </c>
      <c r="F4" s="112">
        <f t="shared" si="0"/>
        <v>123.70994344957586</v>
      </c>
      <c r="G4" s="20">
        <v>123</v>
      </c>
      <c r="H4" s="112">
        <f>G4/G3*100</f>
        <v>10.56701030927835</v>
      </c>
      <c r="I4" s="102"/>
      <c r="J4" s="102"/>
      <c r="K4" s="102"/>
    </row>
    <row r="5" spans="1:11" ht="16.149999999999999">
      <c r="A5" s="107" t="s">
        <v>165</v>
      </c>
      <c r="B5" s="100">
        <v>108675</v>
      </c>
      <c r="C5" s="112">
        <f>B5/$B$3*100</f>
        <v>17.110508615477631</v>
      </c>
      <c r="D5" s="100">
        <v>79731</v>
      </c>
      <c r="E5" s="112">
        <f>D5/$D$3*100</f>
        <v>17.353763780213082</v>
      </c>
      <c r="F5" s="112">
        <f t="shared" si="0"/>
        <v>136.30206569590246</v>
      </c>
      <c r="G5" s="100">
        <v>257</v>
      </c>
      <c r="H5" s="112">
        <f>G5/G3*100</f>
        <v>22.079037800687285</v>
      </c>
      <c r="I5" s="102"/>
      <c r="J5" s="102"/>
      <c r="K5" s="102"/>
    </row>
    <row r="6" spans="1:11" ht="16.149999999999999">
      <c r="A6" s="107" t="s">
        <v>166</v>
      </c>
      <c r="B6" s="100">
        <v>322523</v>
      </c>
      <c r="C6" s="112">
        <f>B6/$B$3*100</f>
        <v>50.780147873841194</v>
      </c>
      <c r="D6" s="100">
        <v>230782</v>
      </c>
      <c r="E6" s="112">
        <f>D6/$D$3*100</f>
        <v>50.230604316077013</v>
      </c>
      <c r="F6" s="112">
        <f t="shared" si="0"/>
        <v>139.75223370973472</v>
      </c>
      <c r="G6" s="100">
        <v>416</v>
      </c>
      <c r="H6" s="112">
        <f>G6/G3*100</f>
        <v>35.738831615120276</v>
      </c>
      <c r="I6" s="102"/>
      <c r="J6" s="102"/>
      <c r="K6" s="102"/>
    </row>
    <row r="7" spans="1:11" ht="16.149999999999999">
      <c r="A7" s="107" t="s">
        <v>185</v>
      </c>
      <c r="B7" s="100">
        <v>98606</v>
      </c>
      <c r="C7" s="112">
        <f>B7/$B$3*100</f>
        <v>15.525178859330916</v>
      </c>
      <c r="D7" s="100">
        <v>73602</v>
      </c>
      <c r="E7" s="112">
        <f>D7/$D$3*100</f>
        <v>16.019762974893624</v>
      </c>
      <c r="F7" s="112">
        <f t="shared" si="0"/>
        <v>133.9719029374202</v>
      </c>
      <c r="G7" s="100">
        <v>229</v>
      </c>
      <c r="H7" s="112">
        <f>G7/G3*100</f>
        <v>19.673539518900345</v>
      </c>
      <c r="I7" s="102"/>
      <c r="J7" s="102"/>
      <c r="K7" s="102"/>
    </row>
    <row r="8" spans="1:11" ht="16.149999999999999">
      <c r="A8" s="107" t="s">
        <v>168</v>
      </c>
      <c r="B8" s="100">
        <v>63330</v>
      </c>
      <c r="C8" s="112">
        <f>B8/$B$3*100</f>
        <v>9.9710928053204348</v>
      </c>
      <c r="D8" s="100">
        <v>41170</v>
      </c>
      <c r="E8" s="112">
        <f>D8/$D$3*100</f>
        <v>8.960811413770962</v>
      </c>
      <c r="F8" s="112">
        <f t="shared" si="0"/>
        <v>153.8256011658975</v>
      </c>
      <c r="G8" s="100">
        <v>139</v>
      </c>
      <c r="H8" s="112">
        <f>G8/G3*100</f>
        <v>11.941580756013746</v>
      </c>
      <c r="I8" s="102"/>
      <c r="J8" s="102"/>
      <c r="K8" s="102"/>
    </row>
    <row r="9" spans="1:11">
      <c r="A9" s="109" t="s">
        <v>370</v>
      </c>
      <c r="B9" s="110"/>
      <c r="C9" s="110"/>
      <c r="D9" s="111"/>
      <c r="E9" s="110"/>
      <c r="F9" s="110"/>
      <c r="G9" s="110"/>
      <c r="H9" s="110"/>
      <c r="I9" s="110"/>
      <c r="J9" s="110"/>
      <c r="K9" s="110"/>
    </row>
    <row r="10" spans="1:11" s="372" customFormat="1" ht="28.15" customHeight="1">
      <c r="A10" s="420" t="s">
        <v>379</v>
      </c>
      <c r="B10" s="420"/>
      <c r="C10" s="420"/>
      <c r="D10" s="420"/>
      <c r="E10" s="420"/>
      <c r="F10" s="420"/>
      <c r="G10" s="420"/>
      <c r="H10" s="420"/>
      <c r="I10" s="370"/>
      <c r="J10" s="370"/>
      <c r="K10" s="370"/>
    </row>
    <row r="11" spans="1:11" ht="15" customHeight="1">
      <c r="A11" s="426" t="s">
        <v>380</v>
      </c>
      <c r="B11" s="426"/>
      <c r="C11" s="426"/>
      <c r="D11" s="426"/>
      <c r="E11" s="426"/>
      <c r="F11" s="426"/>
      <c r="G11" s="331"/>
      <c r="H11" s="331"/>
      <c r="I11" s="392"/>
      <c r="J11" s="392"/>
      <c r="K11" s="392"/>
    </row>
    <row r="12" spans="1:11">
      <c r="I12" s="390"/>
      <c r="J12" s="390"/>
      <c r="K12" s="390"/>
    </row>
    <row r="13" spans="1:11">
      <c r="I13" s="390"/>
      <c r="J13" s="391"/>
      <c r="K13" s="390"/>
    </row>
    <row r="14" spans="1:11">
      <c r="B14" s="146"/>
      <c r="I14" s="390"/>
      <c r="J14" s="390"/>
      <c r="K14" s="390"/>
    </row>
    <row r="15" spans="1:11">
      <c r="I15" s="390"/>
      <c r="J15" s="390"/>
      <c r="K15" s="390"/>
    </row>
    <row r="16" spans="1:11">
      <c r="I16" s="390"/>
      <c r="J16" s="390"/>
      <c r="K16" s="390"/>
    </row>
    <row r="17" spans="1:11" ht="53.25" customHeight="1">
      <c r="A17" s="400" t="s">
        <v>381</v>
      </c>
      <c r="B17" s="400"/>
      <c r="C17" s="400"/>
      <c r="D17" s="400"/>
      <c r="E17" s="400"/>
      <c r="F17" s="400"/>
      <c r="G17" s="400"/>
      <c r="H17" s="400"/>
      <c r="I17" s="102"/>
      <c r="J17" s="102"/>
      <c r="K17" s="102"/>
    </row>
    <row r="18" spans="1:11" ht="64.900000000000006">
      <c r="A18" s="103" t="s">
        <v>162</v>
      </c>
      <c r="B18" s="103" t="s">
        <v>376</v>
      </c>
      <c r="C18" s="103" t="s">
        <v>184</v>
      </c>
      <c r="D18" s="103" t="s">
        <v>377</v>
      </c>
      <c r="E18" s="103" t="s">
        <v>367</v>
      </c>
      <c r="F18" s="90" t="s">
        <v>368</v>
      </c>
      <c r="G18" s="103" t="s">
        <v>378</v>
      </c>
      <c r="H18" s="103" t="s">
        <v>184</v>
      </c>
      <c r="I18" s="102"/>
      <c r="J18" s="102"/>
      <c r="K18" s="102"/>
    </row>
    <row r="19" spans="1:11" ht="16.149999999999999">
      <c r="A19" s="104" t="s">
        <v>163</v>
      </c>
      <c r="B19" s="99">
        <v>616132</v>
      </c>
      <c r="C19" s="105">
        <v>100</v>
      </c>
      <c r="D19" s="99">
        <v>456150</v>
      </c>
      <c r="E19" s="105">
        <v>100</v>
      </c>
      <c r="F19" s="105">
        <f t="shared" ref="F19:F24" si="1">B19/D19*100</f>
        <v>135.07223501041324</v>
      </c>
      <c r="G19" s="99">
        <v>1120</v>
      </c>
      <c r="H19" s="105">
        <v>100</v>
      </c>
      <c r="I19" s="106"/>
      <c r="J19" s="106"/>
      <c r="K19" s="106"/>
    </row>
    <row r="20" spans="1:11" ht="16.149999999999999">
      <c r="A20" s="107" t="s">
        <v>164</v>
      </c>
      <c r="B20" s="20">
        <v>41201</v>
      </c>
      <c r="C20" s="112">
        <f>B20/$B$3*100</f>
        <v>6.4869571241434905</v>
      </c>
      <c r="D20" s="20">
        <v>33911</v>
      </c>
      <c r="E20" s="112">
        <f>D20/$D$3*100</f>
        <v>7.3808616918238314</v>
      </c>
      <c r="F20" s="112">
        <f t="shared" si="1"/>
        <v>121.49744920527263</v>
      </c>
      <c r="G20" s="20">
        <v>120</v>
      </c>
      <c r="H20" s="112">
        <f>G20/G19*100</f>
        <v>10.714285714285714</v>
      </c>
      <c r="I20" s="102"/>
      <c r="J20" s="102"/>
      <c r="K20" s="102"/>
    </row>
    <row r="21" spans="1:11" ht="16.149999999999999">
      <c r="A21" s="107" t="s">
        <v>165</v>
      </c>
      <c r="B21" s="100">
        <v>105341</v>
      </c>
      <c r="C21" s="112">
        <f>B21/$B$3*100</f>
        <v>16.585581670697298</v>
      </c>
      <c r="D21" s="100">
        <v>81595</v>
      </c>
      <c r="E21" s="112">
        <f>D21/$D$3*100</f>
        <v>17.759470665694479</v>
      </c>
      <c r="F21" s="112">
        <f t="shared" si="1"/>
        <v>129.10227342361665</v>
      </c>
      <c r="G21" s="100">
        <v>254</v>
      </c>
      <c r="H21" s="112">
        <f>G21/G19*100</f>
        <v>22.678571428571427</v>
      </c>
      <c r="I21" s="102"/>
      <c r="J21" s="102"/>
      <c r="K21" s="102"/>
    </row>
    <row r="22" spans="1:11" ht="16.149999999999999">
      <c r="A22" s="107" t="s">
        <v>166</v>
      </c>
      <c r="B22" s="100">
        <v>316586</v>
      </c>
      <c r="C22" s="112">
        <f>B22/$B$3*100</f>
        <v>49.845387444578797</v>
      </c>
      <c r="D22" s="100">
        <v>226343</v>
      </c>
      <c r="E22" s="112">
        <f>D22/$D$3*100</f>
        <v>49.264438616156447</v>
      </c>
      <c r="F22" s="112">
        <f t="shared" si="1"/>
        <v>139.87002027895716</v>
      </c>
      <c r="G22" s="100">
        <v>383</v>
      </c>
      <c r="H22" s="112">
        <f>G22/G19*100</f>
        <v>34.196428571428569</v>
      </c>
      <c r="I22" s="102"/>
      <c r="J22" s="102"/>
      <c r="K22" s="102"/>
    </row>
    <row r="23" spans="1:11" ht="16.149999999999999">
      <c r="A23" s="107" t="s">
        <v>185</v>
      </c>
      <c r="B23" s="100">
        <v>91036</v>
      </c>
      <c r="C23" s="112">
        <f>B23/$B$3*100</f>
        <v>14.333308141878277</v>
      </c>
      <c r="D23" s="100">
        <v>74578</v>
      </c>
      <c r="E23" s="112">
        <f>D23/$D$3*100</f>
        <v>16.232193189609205</v>
      </c>
      <c r="F23" s="112">
        <f t="shared" si="1"/>
        <v>122.06817023787175</v>
      </c>
      <c r="G23" s="100">
        <v>223</v>
      </c>
      <c r="H23" s="112">
        <f>G23/G19*100</f>
        <v>19.910714285714285</v>
      </c>
      <c r="I23" s="102"/>
      <c r="J23" s="102"/>
      <c r="K23" s="102"/>
    </row>
    <row r="24" spans="1:11" ht="16.149999999999999">
      <c r="A24" s="107" t="s">
        <v>168</v>
      </c>
      <c r="B24" s="100">
        <v>61968</v>
      </c>
      <c r="C24" s="112">
        <f>B24/$B$3*100</f>
        <v>9.7566505441354305</v>
      </c>
      <c r="D24" s="100">
        <v>39723</v>
      </c>
      <c r="E24" s="112">
        <f>D24/$D$3*100</f>
        <v>8.6458662081424329</v>
      </c>
      <c r="F24" s="112">
        <f t="shared" si="1"/>
        <v>156.00030209198701</v>
      </c>
      <c r="G24" s="100">
        <v>140</v>
      </c>
      <c r="H24" s="112">
        <f>G24/G19*100</f>
        <v>12.5</v>
      </c>
      <c r="I24" s="102"/>
      <c r="J24" s="102"/>
      <c r="K24" s="102"/>
    </row>
    <row r="25" spans="1:11">
      <c r="A25" s="109" t="s">
        <v>370</v>
      </c>
      <c r="B25" s="110"/>
      <c r="C25" s="110"/>
      <c r="D25" s="111"/>
      <c r="E25" s="110"/>
      <c r="F25" s="110"/>
      <c r="G25" s="110"/>
      <c r="H25" s="110"/>
      <c r="I25" s="110"/>
      <c r="J25" s="110"/>
      <c r="K25" s="110"/>
    </row>
    <row r="26" spans="1:11" s="372" customFormat="1" ht="32.450000000000003" customHeight="1">
      <c r="A26" s="426" t="s">
        <v>382</v>
      </c>
      <c r="B26" s="427"/>
      <c r="C26" s="427"/>
      <c r="D26" s="427"/>
      <c r="E26" s="427"/>
      <c r="F26" s="427"/>
      <c r="G26" s="427"/>
      <c r="H26" s="427"/>
      <c r="I26" s="373"/>
      <c r="J26" s="373"/>
      <c r="K26" s="373"/>
    </row>
    <row r="27" spans="1:11">
      <c r="A27" s="426" t="s">
        <v>380</v>
      </c>
      <c r="B27" s="426"/>
      <c r="C27" s="426"/>
      <c r="D27" s="426"/>
      <c r="E27" s="426"/>
      <c r="F27" s="426"/>
    </row>
  </sheetData>
  <mergeCells count="6">
    <mergeCell ref="A1:H1"/>
    <mergeCell ref="A17:H17"/>
    <mergeCell ref="A11:F11"/>
    <mergeCell ref="A27:F27"/>
    <mergeCell ref="A10:H10"/>
    <mergeCell ref="A26:H2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4D47E-BB0D-4405-9E73-547BC6853E11}">
  <dimension ref="A1:L15"/>
  <sheetViews>
    <sheetView workbookViewId="0">
      <selection activeCell="D12" sqref="D12:F15"/>
    </sheetView>
  </sheetViews>
  <sheetFormatPr defaultRowHeight="14.45"/>
  <cols>
    <col min="1" max="1" width="18.85546875" customWidth="1"/>
  </cols>
  <sheetData>
    <row r="1" spans="1:12" ht="53.25" customHeight="1">
      <c r="A1" s="400" t="s">
        <v>172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</row>
    <row r="2" spans="1:12" ht="16.149999999999999">
      <c r="A2" s="10" t="s">
        <v>173</v>
      </c>
      <c r="B2" s="4">
        <v>2013</v>
      </c>
      <c r="C2" s="4">
        <v>2014</v>
      </c>
      <c r="D2" s="4">
        <v>2015</v>
      </c>
      <c r="E2" s="4">
        <v>2016</v>
      </c>
      <c r="F2" s="4">
        <v>2017</v>
      </c>
      <c r="G2" s="4">
        <v>2018</v>
      </c>
      <c r="H2" s="4">
        <v>2019</v>
      </c>
      <c r="I2" s="4">
        <v>2020</v>
      </c>
      <c r="J2" s="4">
        <v>2021</v>
      </c>
      <c r="K2" s="4">
        <v>2022</v>
      </c>
      <c r="L2" s="4">
        <v>2023</v>
      </c>
    </row>
    <row r="3" spans="1:12" ht="16.149999999999999">
      <c r="A3" s="4" t="s">
        <v>174</v>
      </c>
      <c r="B3" s="11">
        <v>71.013041628075797</v>
      </c>
      <c r="C3" s="11">
        <v>73.857737652810258</v>
      </c>
      <c r="D3" s="11">
        <v>70.826314198090799</v>
      </c>
      <c r="E3" s="11">
        <v>73.854276121889342</v>
      </c>
      <c r="F3" s="11">
        <v>73.039978512135946</v>
      </c>
      <c r="G3" s="11">
        <v>73.266360240426735</v>
      </c>
      <c r="H3" s="11">
        <v>71.590937792033955</v>
      </c>
      <c r="I3" s="11">
        <v>72.441632023013909</v>
      </c>
      <c r="J3" s="11">
        <v>72.985722862912965</v>
      </c>
      <c r="K3" s="11">
        <v>72.883328778631366</v>
      </c>
      <c r="L3" s="11">
        <v>70.555839000286539</v>
      </c>
    </row>
    <row r="4" spans="1:12" ht="16.149999999999999">
      <c r="A4" s="4" t="s">
        <v>175</v>
      </c>
      <c r="B4" s="11">
        <v>28.986958371924203</v>
      </c>
      <c r="C4" s="11">
        <v>26.142262347189742</v>
      </c>
      <c r="D4" s="11">
        <v>29.173685801909205</v>
      </c>
      <c r="E4" s="11">
        <v>26.145723878110665</v>
      </c>
      <c r="F4" s="11">
        <v>26.960021487864044</v>
      </c>
      <c r="G4" s="11">
        <v>26.733639759573258</v>
      </c>
      <c r="H4" s="11">
        <v>28.409062207966056</v>
      </c>
      <c r="I4" s="11">
        <v>27.558367976986091</v>
      </c>
      <c r="J4" s="11">
        <v>27.014277137087028</v>
      </c>
      <c r="K4" s="11">
        <v>27.116671221368637</v>
      </c>
      <c r="L4" s="11">
        <v>29.444160999713446</v>
      </c>
    </row>
    <row r="5" spans="1:12">
      <c r="A5" s="397" t="s">
        <v>169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</row>
    <row r="6" spans="1:12">
      <c r="A6" s="398" t="s">
        <v>176</v>
      </c>
      <c r="B6" s="398"/>
      <c r="C6" s="398"/>
      <c r="D6" s="398"/>
      <c r="E6" s="398"/>
      <c r="F6" s="398"/>
      <c r="G6" s="398"/>
      <c r="H6" s="398"/>
      <c r="I6" s="398"/>
      <c r="J6" s="398"/>
      <c r="K6" s="398"/>
    </row>
    <row r="7" spans="1:12" ht="69" customHeight="1">
      <c r="A7" s="396" t="s">
        <v>177</v>
      </c>
      <c r="B7" s="399"/>
      <c r="C7" s="399"/>
      <c r="D7" s="399"/>
      <c r="E7" s="399"/>
      <c r="F7" s="399"/>
      <c r="G7" s="399"/>
      <c r="H7" s="399"/>
      <c r="I7" s="399"/>
      <c r="J7" s="399"/>
      <c r="K7" s="399"/>
      <c r="L7" s="399"/>
    </row>
    <row r="12" spans="1:12">
      <c r="D12" s="390"/>
      <c r="E12" s="390"/>
      <c r="F12" s="390"/>
    </row>
    <row r="13" spans="1:12">
      <c r="D13" s="390"/>
      <c r="E13" s="391"/>
      <c r="F13" s="390"/>
    </row>
    <row r="14" spans="1:12">
      <c r="D14" s="390"/>
      <c r="E14" s="390"/>
      <c r="F14" s="390"/>
    </row>
    <row r="15" spans="1:12">
      <c r="D15" s="390"/>
      <c r="E15" s="390"/>
      <c r="F15" s="390"/>
    </row>
  </sheetData>
  <mergeCells count="4">
    <mergeCell ref="A5:K5"/>
    <mergeCell ref="A6:K6"/>
    <mergeCell ref="A7:L7"/>
    <mergeCell ref="A1:L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4E6B6-7FF7-49EC-9145-250D81D400AB}">
  <dimension ref="A1:K32"/>
  <sheetViews>
    <sheetView topLeftCell="A11" workbookViewId="0">
      <selection activeCell="B12" sqref="B12"/>
    </sheetView>
  </sheetViews>
  <sheetFormatPr defaultRowHeight="14.45"/>
  <cols>
    <col min="1" max="1" width="27.42578125" customWidth="1"/>
    <col min="2" max="2" width="15.85546875" customWidth="1"/>
    <col min="3" max="6" width="19.5703125" customWidth="1"/>
    <col min="7" max="11" width="9.140625" bestFit="1" customWidth="1"/>
  </cols>
  <sheetData>
    <row r="1" spans="1:11" ht="51.6" customHeight="1">
      <c r="A1" s="424" t="s">
        <v>383</v>
      </c>
      <c r="B1" s="400"/>
      <c r="C1" s="400"/>
      <c r="D1" s="400"/>
      <c r="E1" s="400"/>
      <c r="F1" s="400"/>
    </row>
    <row r="2" spans="1:11" ht="16.149999999999999">
      <c r="A2" s="428" t="s">
        <v>201</v>
      </c>
      <c r="B2" s="428" t="s">
        <v>180</v>
      </c>
      <c r="C2" s="430" t="s">
        <v>253</v>
      </c>
      <c r="D2" s="431"/>
      <c r="E2" s="430" t="s">
        <v>199</v>
      </c>
      <c r="F2" s="431"/>
    </row>
    <row r="3" spans="1:11" ht="16.149999999999999">
      <c r="A3" s="429"/>
      <c r="B3" s="429"/>
      <c r="C3" s="115" t="s">
        <v>180</v>
      </c>
      <c r="D3" s="115" t="s">
        <v>184</v>
      </c>
      <c r="E3" s="115" t="s">
        <v>219</v>
      </c>
      <c r="F3" s="115" t="s">
        <v>184</v>
      </c>
    </row>
    <row r="4" spans="1:11" ht="16.149999999999999">
      <c r="A4" s="374" t="s">
        <v>384</v>
      </c>
      <c r="B4" s="196">
        <v>663906</v>
      </c>
      <c r="C4" s="196">
        <v>28770</v>
      </c>
      <c r="D4" s="105">
        <v>100</v>
      </c>
      <c r="E4" s="196">
        <v>635136</v>
      </c>
      <c r="F4" s="105">
        <v>100</v>
      </c>
    </row>
    <row r="5" spans="1:11" ht="16.149999999999999">
      <c r="A5" s="107" t="s">
        <v>202</v>
      </c>
      <c r="B5" s="117">
        <v>187384</v>
      </c>
      <c r="C5" s="117">
        <v>9054</v>
      </c>
      <c r="D5" s="113">
        <v>33.010062709639783</v>
      </c>
      <c r="E5" s="117">
        <v>178330</v>
      </c>
      <c r="F5" s="113">
        <v>30.124582963807594</v>
      </c>
      <c r="I5" s="133"/>
    </row>
    <row r="6" spans="1:11" ht="16.149999999999999">
      <c r="A6" s="107" t="s">
        <v>203</v>
      </c>
      <c r="B6" s="117">
        <v>103799</v>
      </c>
      <c r="C6" s="117">
        <v>3819</v>
      </c>
      <c r="D6" s="113">
        <v>13.923727577657868</v>
      </c>
      <c r="E6" s="117">
        <v>99980</v>
      </c>
      <c r="F6" s="113">
        <v>16.889226740994129</v>
      </c>
    </row>
    <row r="7" spans="1:11" ht="16.149999999999999">
      <c r="A7" s="107" t="s">
        <v>205</v>
      </c>
      <c r="B7" s="117">
        <v>320821</v>
      </c>
      <c r="C7" s="117">
        <v>14250</v>
      </c>
      <c r="D7" s="113">
        <v>51.954207379320401</v>
      </c>
      <c r="E7" s="117">
        <v>306571</v>
      </c>
      <c r="F7" s="113">
        <v>51.787828877908694</v>
      </c>
    </row>
    <row r="8" spans="1:11" ht="16.149999999999999">
      <c r="A8" s="107" t="s">
        <v>385</v>
      </c>
      <c r="B8" s="117">
        <v>5963</v>
      </c>
      <c r="C8" s="117">
        <v>214</v>
      </c>
      <c r="D8" s="113">
        <v>0.78022458801225025</v>
      </c>
      <c r="E8" s="117">
        <v>5749</v>
      </c>
      <c r="F8" s="113">
        <v>0.97115587651505553</v>
      </c>
    </row>
    <row r="9" spans="1:11" ht="16.149999999999999">
      <c r="A9" s="107" t="s">
        <v>206</v>
      </c>
      <c r="B9" s="117">
        <v>1436</v>
      </c>
      <c r="C9" s="117">
        <v>91</v>
      </c>
      <c r="D9" s="113">
        <v>0.33177774536969518</v>
      </c>
      <c r="E9" s="117">
        <v>1345</v>
      </c>
      <c r="F9" s="113">
        <v>0.22720554077452595</v>
      </c>
    </row>
    <row r="10" spans="1:11" ht="16.149999999999999">
      <c r="A10" s="227" t="s">
        <v>370</v>
      </c>
      <c r="B10" s="128"/>
      <c r="C10" s="128"/>
      <c r="D10" s="129"/>
      <c r="E10" s="128"/>
      <c r="F10" s="129"/>
    </row>
    <row r="11" spans="1:11" ht="71.25" customHeight="1">
      <c r="A11" s="420" t="s">
        <v>386</v>
      </c>
      <c r="B11" s="420"/>
      <c r="C11" s="420"/>
      <c r="D11" s="420"/>
      <c r="E11" s="420"/>
      <c r="F11" s="102"/>
    </row>
    <row r="12" spans="1:11">
      <c r="A12" s="109" t="s">
        <v>387</v>
      </c>
      <c r="B12" s="109"/>
      <c r="C12" s="109"/>
      <c r="D12" s="200"/>
      <c r="E12" s="200"/>
      <c r="F12" s="200"/>
      <c r="G12" s="200"/>
      <c r="H12" s="200"/>
      <c r="I12" s="200"/>
      <c r="J12" s="200"/>
      <c r="K12" s="200"/>
    </row>
    <row r="13" spans="1:11">
      <c r="A13" s="109" t="s">
        <v>388</v>
      </c>
      <c r="B13" s="109"/>
      <c r="C13" s="109"/>
      <c r="D13" s="200"/>
      <c r="E13" s="200"/>
      <c r="F13" s="200"/>
      <c r="G13" s="200"/>
      <c r="H13" s="200"/>
      <c r="I13" s="200"/>
      <c r="J13" s="200"/>
      <c r="K13" s="200"/>
    </row>
    <row r="14" spans="1:11" ht="36" customHeight="1">
      <c r="A14" s="342"/>
      <c r="B14" s="343"/>
      <c r="C14" s="343"/>
      <c r="D14" s="200"/>
      <c r="E14" s="200"/>
      <c r="F14" s="200"/>
      <c r="G14" s="200"/>
      <c r="H14" s="200"/>
      <c r="I14" s="200"/>
      <c r="J14" s="200"/>
      <c r="K14" s="200"/>
    </row>
    <row r="15" spans="1:11">
      <c r="A15" s="344" t="s">
        <v>389</v>
      </c>
      <c r="B15" s="343"/>
      <c r="C15" s="341"/>
      <c r="D15" s="163"/>
      <c r="E15" s="346"/>
    </row>
    <row r="16" spans="1:11">
      <c r="A16" s="342"/>
      <c r="B16" s="342"/>
      <c r="C16" s="342"/>
      <c r="D16" s="163"/>
      <c r="E16" s="346"/>
    </row>
    <row r="17" spans="1:11" ht="82.5" customHeight="1">
      <c r="A17" s="424" t="s">
        <v>390</v>
      </c>
      <c r="B17" s="400"/>
      <c r="C17" s="400"/>
      <c r="D17" s="400"/>
      <c r="E17" s="400"/>
      <c r="F17" s="400"/>
    </row>
    <row r="18" spans="1:11" ht="56.25" customHeight="1">
      <c r="A18" s="428" t="s">
        <v>201</v>
      </c>
      <c r="B18" s="428" t="s">
        <v>180</v>
      </c>
      <c r="C18" s="430" t="s">
        <v>253</v>
      </c>
      <c r="D18" s="431"/>
      <c r="E18" s="430" t="s">
        <v>199</v>
      </c>
      <c r="F18" s="431"/>
    </row>
    <row r="19" spans="1:11" ht="16.149999999999999">
      <c r="A19" s="429"/>
      <c r="B19" s="429"/>
      <c r="C19" s="115" t="s">
        <v>180</v>
      </c>
      <c r="D19" s="115" t="s">
        <v>184</v>
      </c>
      <c r="E19" s="115" t="s">
        <v>219</v>
      </c>
      <c r="F19" s="115" t="s">
        <v>184</v>
      </c>
    </row>
    <row r="20" spans="1:11" ht="16.149999999999999">
      <c r="A20" s="104" t="s">
        <v>384</v>
      </c>
      <c r="B20" s="196">
        <v>643008</v>
      </c>
      <c r="C20" s="196">
        <v>26876</v>
      </c>
      <c r="D20" s="105">
        <v>100</v>
      </c>
      <c r="E20" s="196">
        <v>616132</v>
      </c>
      <c r="F20" s="105">
        <v>100</v>
      </c>
    </row>
    <row r="21" spans="1:11" ht="16.149999999999999">
      <c r="A21" s="107" t="s">
        <v>202</v>
      </c>
      <c r="B21" s="117">
        <v>179142</v>
      </c>
      <c r="C21" s="117">
        <v>8457</v>
      </c>
      <c r="D21" s="113">
        <v>31.466736121446644</v>
      </c>
      <c r="E21" s="117">
        <v>170685</v>
      </c>
      <c r="F21" s="113">
        <v>27.702667610187426</v>
      </c>
      <c r="H21" s="118"/>
      <c r="J21" s="118"/>
    </row>
    <row r="22" spans="1:11" ht="16.149999999999999">
      <c r="A22" s="107" t="s">
        <v>203</v>
      </c>
      <c r="B22" s="117">
        <v>98179</v>
      </c>
      <c r="C22" s="117">
        <v>3537</v>
      </c>
      <c r="D22" s="113">
        <v>13.160440541747285</v>
      </c>
      <c r="E22" s="117">
        <v>94642</v>
      </c>
      <c r="F22" s="113">
        <v>15.360669466932411</v>
      </c>
    </row>
    <row r="23" spans="1:11" ht="16.149999999999999">
      <c r="A23" s="107" t="s">
        <v>205</v>
      </c>
      <c r="B23" s="117">
        <v>303193</v>
      </c>
      <c r="C23" s="117">
        <v>12820</v>
      </c>
      <c r="D23" s="113">
        <v>47.700550677184104</v>
      </c>
      <c r="E23" s="117">
        <v>290373</v>
      </c>
      <c r="F23" s="113">
        <v>47.128375088455073</v>
      </c>
    </row>
    <row r="24" spans="1:11" ht="16.149999999999999">
      <c r="A24" s="107" t="s">
        <v>385</v>
      </c>
      <c r="B24" s="117">
        <v>6084</v>
      </c>
      <c r="C24" s="117">
        <v>116</v>
      </c>
      <c r="D24" s="113">
        <v>0.43161184700104183</v>
      </c>
      <c r="E24" s="117">
        <v>5968</v>
      </c>
      <c r="F24" s="113">
        <v>0.96862360662974822</v>
      </c>
    </row>
    <row r="25" spans="1:11" ht="16.149999999999999">
      <c r="A25" s="107" t="s">
        <v>206</v>
      </c>
      <c r="B25" s="117">
        <v>1281</v>
      </c>
      <c r="C25" s="117">
        <v>82</v>
      </c>
      <c r="D25" s="113">
        <v>0.30510492632832265</v>
      </c>
      <c r="E25" s="117">
        <v>1199</v>
      </c>
      <c r="F25" s="113">
        <v>0.19460115689495108</v>
      </c>
    </row>
    <row r="26" spans="1:11" ht="16.149999999999999">
      <c r="A26" s="227" t="s">
        <v>370</v>
      </c>
      <c r="B26" s="128"/>
      <c r="C26" s="128"/>
      <c r="D26" s="129"/>
      <c r="E26" s="128"/>
      <c r="F26" s="129"/>
    </row>
    <row r="27" spans="1:11" ht="43.15" customHeight="1">
      <c r="A27" s="396" t="s">
        <v>391</v>
      </c>
      <c r="B27" s="420"/>
      <c r="C27" s="420"/>
      <c r="D27" s="420"/>
      <c r="E27" s="420"/>
      <c r="F27" s="345"/>
    </row>
    <row r="28" spans="1:11">
      <c r="A28" s="109" t="s">
        <v>387</v>
      </c>
      <c r="B28" s="109"/>
      <c r="C28" s="109"/>
      <c r="D28" s="200"/>
      <c r="E28" s="200"/>
      <c r="F28" s="26"/>
      <c r="G28" s="26"/>
      <c r="H28" s="26"/>
      <c r="I28" s="26"/>
      <c r="J28" s="26"/>
      <c r="K28" s="26"/>
    </row>
    <row r="29" spans="1:11">
      <c r="A29" s="109" t="s">
        <v>388</v>
      </c>
      <c r="B29" s="109"/>
      <c r="C29" s="109"/>
      <c r="D29" s="200"/>
      <c r="E29" s="200"/>
      <c r="F29" s="199"/>
      <c r="G29" s="199"/>
      <c r="H29" s="199"/>
      <c r="I29" s="199"/>
      <c r="J29" s="199"/>
      <c r="K29" s="199"/>
    </row>
    <row r="30" spans="1:11">
      <c r="A30" s="200"/>
      <c r="C30" s="146"/>
    </row>
    <row r="32" spans="1:11">
      <c r="B32" s="146"/>
      <c r="C32" s="146" t="s">
        <v>373</v>
      </c>
    </row>
  </sheetData>
  <mergeCells count="12">
    <mergeCell ref="A11:E11"/>
    <mergeCell ref="A27:E27"/>
    <mergeCell ref="A1:F1"/>
    <mergeCell ref="A2:A3"/>
    <mergeCell ref="B2:B3"/>
    <mergeCell ref="C2:D2"/>
    <mergeCell ref="E2:F2"/>
    <mergeCell ref="A17:F17"/>
    <mergeCell ref="A18:A19"/>
    <mergeCell ref="B18:B19"/>
    <mergeCell ref="C18:D18"/>
    <mergeCell ref="E18:F18"/>
  </mergeCells>
  <pageMargins left="0.511811024" right="0.511811024" top="0.78740157499999996" bottom="0.78740157499999996" header="0.31496062000000002" footer="0.3149606200000000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86B7C-7DF7-43E3-AB53-56F80FEED4E9}">
  <dimension ref="A1:K26"/>
  <sheetViews>
    <sheetView workbookViewId="0">
      <selection activeCell="A10" sqref="A10:E10"/>
    </sheetView>
  </sheetViews>
  <sheetFormatPr defaultRowHeight="14.45"/>
  <cols>
    <col min="1" max="1" width="37.85546875" customWidth="1"/>
    <col min="2" max="2" width="18.42578125" customWidth="1"/>
    <col min="3" max="3" width="22" customWidth="1"/>
    <col min="4" max="4" width="18.5703125" customWidth="1"/>
    <col min="5" max="5" width="18.42578125" customWidth="1"/>
    <col min="6" max="6" width="20.42578125" customWidth="1"/>
  </cols>
  <sheetData>
    <row r="1" spans="1:6" ht="49.9" customHeight="1">
      <c r="A1" s="424" t="s">
        <v>392</v>
      </c>
      <c r="B1" s="400"/>
      <c r="C1" s="434"/>
      <c r="D1" s="434"/>
      <c r="E1" s="400"/>
      <c r="F1" s="400"/>
    </row>
    <row r="2" spans="1:6" ht="16.149999999999999" customHeight="1">
      <c r="A2" s="428" t="s">
        <v>393</v>
      </c>
      <c r="B2" s="435" t="s">
        <v>180</v>
      </c>
      <c r="C2" s="432" t="s">
        <v>198</v>
      </c>
      <c r="D2" s="432" t="s">
        <v>199</v>
      </c>
      <c r="E2" s="433" t="s">
        <v>184</v>
      </c>
      <c r="F2" s="431"/>
    </row>
    <row r="3" spans="1:6" ht="16.149999999999999" customHeight="1">
      <c r="A3" s="429"/>
      <c r="B3" s="436"/>
      <c r="C3" s="432"/>
      <c r="D3" s="432"/>
      <c r="E3" s="114" t="s">
        <v>198</v>
      </c>
      <c r="F3" s="115" t="s">
        <v>199</v>
      </c>
    </row>
    <row r="4" spans="1:6" ht="16.149999999999999" customHeight="1">
      <c r="A4" s="104" t="s">
        <v>180</v>
      </c>
      <c r="B4" s="196">
        <v>663906</v>
      </c>
      <c r="C4" s="197">
        <v>28770</v>
      </c>
      <c r="D4" s="196">
        <v>635136</v>
      </c>
      <c r="E4" s="105">
        <v>100</v>
      </c>
      <c r="F4" s="105">
        <v>100</v>
      </c>
    </row>
    <row r="5" spans="1:6" ht="16.149999999999999" customHeight="1">
      <c r="A5" s="95" t="s">
        <v>394</v>
      </c>
      <c r="B5" s="117">
        <v>652569</v>
      </c>
      <c r="C5" s="117">
        <v>27976</v>
      </c>
      <c r="D5" s="117">
        <v>624593</v>
      </c>
      <c r="E5" s="375">
        <f>C5/$C$4*100</f>
        <v>97.240180743830379</v>
      </c>
      <c r="F5" s="375">
        <f>D5/$D$4 *100</f>
        <v>98.340040558242649</v>
      </c>
    </row>
    <row r="6" spans="1:6" ht="16.149999999999999" customHeight="1">
      <c r="A6" s="95" t="s">
        <v>395</v>
      </c>
      <c r="B6" s="117">
        <v>560</v>
      </c>
      <c r="C6" s="117">
        <v>3</v>
      </c>
      <c r="D6" s="117">
        <v>557</v>
      </c>
      <c r="E6" s="375">
        <f>C6/$C$4 *100</f>
        <v>1.0427528675703858E-2</v>
      </c>
      <c r="F6" s="375">
        <f>D6/$D$4 *100</f>
        <v>8.7697752922208785E-2</v>
      </c>
    </row>
    <row r="7" spans="1:6" ht="14.45" customHeight="1">
      <c r="A7" s="107" t="s">
        <v>396</v>
      </c>
      <c r="B7" s="117">
        <v>2610</v>
      </c>
      <c r="C7" s="117">
        <v>298</v>
      </c>
      <c r="D7" s="117">
        <v>2312</v>
      </c>
      <c r="E7" s="375">
        <f>C7/$C$4 *100</f>
        <v>1.0358011817865833</v>
      </c>
      <c r="F7" s="375">
        <f>D7/$D$4 *100</f>
        <v>0.36401652559451836</v>
      </c>
    </row>
    <row r="8" spans="1:6" ht="14.45" customHeight="1">
      <c r="A8" s="227" t="s">
        <v>370</v>
      </c>
      <c r="B8" s="128"/>
      <c r="C8" s="128"/>
      <c r="D8" s="128"/>
      <c r="E8" s="377"/>
      <c r="F8" s="377"/>
    </row>
    <row r="9" spans="1:6" ht="14.45" customHeight="1">
      <c r="A9" s="396" t="s">
        <v>397</v>
      </c>
      <c r="B9" s="396"/>
      <c r="C9" s="396"/>
      <c r="D9" s="396"/>
      <c r="E9" s="396"/>
    </row>
    <row r="10" spans="1:6" s="200" customFormat="1" ht="40.9" customHeight="1">
      <c r="A10" s="396" t="s">
        <v>398</v>
      </c>
      <c r="B10" s="396"/>
      <c r="C10" s="396"/>
      <c r="D10" s="396"/>
      <c r="E10" s="396"/>
    </row>
    <row r="11" spans="1:6" s="200" customFormat="1" ht="14.45" customHeight="1">
      <c r="A11" s="396" t="s">
        <v>399</v>
      </c>
      <c r="B11" s="396"/>
      <c r="C11" s="396"/>
      <c r="D11" s="396"/>
      <c r="E11" s="396"/>
    </row>
    <row r="12" spans="1:6" ht="14.45" customHeight="1">
      <c r="A12" s="342"/>
      <c r="B12" s="348"/>
      <c r="C12" s="342"/>
    </row>
    <row r="13" spans="1:6" ht="14.45" customHeight="1">
      <c r="A13" s="342"/>
      <c r="B13" s="342"/>
      <c r="C13" s="342"/>
    </row>
    <row r="14" spans="1:6" ht="14.45" customHeight="1">
      <c r="A14" s="342"/>
      <c r="B14" s="342"/>
      <c r="C14" s="342"/>
    </row>
    <row r="15" spans="1:6" ht="44.25" customHeight="1">
      <c r="A15" s="424" t="s">
        <v>400</v>
      </c>
      <c r="B15" s="400"/>
      <c r="C15" s="434"/>
      <c r="D15" s="434"/>
      <c r="E15" s="400"/>
      <c r="F15" s="400"/>
    </row>
    <row r="16" spans="1:6" ht="16.149999999999999" customHeight="1">
      <c r="A16" s="428" t="s">
        <v>393</v>
      </c>
      <c r="B16" s="435" t="s">
        <v>180</v>
      </c>
      <c r="C16" s="432" t="s">
        <v>198</v>
      </c>
      <c r="D16" s="432" t="s">
        <v>199</v>
      </c>
      <c r="E16" s="433" t="s">
        <v>184</v>
      </c>
      <c r="F16" s="431"/>
    </row>
    <row r="17" spans="1:11" ht="16.149999999999999" customHeight="1">
      <c r="A17" s="429"/>
      <c r="B17" s="436"/>
      <c r="C17" s="432"/>
      <c r="D17" s="432"/>
      <c r="E17" s="114" t="s">
        <v>198</v>
      </c>
      <c r="F17" s="115" t="s">
        <v>199</v>
      </c>
    </row>
    <row r="18" spans="1:11" ht="16.149999999999999" customHeight="1">
      <c r="A18" s="104" t="s">
        <v>180</v>
      </c>
      <c r="B18" s="196">
        <v>643008</v>
      </c>
      <c r="C18" s="197">
        <v>26876</v>
      </c>
      <c r="D18" s="196">
        <v>616132</v>
      </c>
      <c r="E18" s="105">
        <v>100</v>
      </c>
      <c r="F18" s="105">
        <v>100</v>
      </c>
    </row>
    <row r="19" spans="1:11" ht="16.149999999999999" customHeight="1">
      <c r="A19" s="95" t="s">
        <v>394</v>
      </c>
      <c r="B19" s="117">
        <v>621928</v>
      </c>
      <c r="C19" s="117">
        <v>25599</v>
      </c>
      <c r="D19" s="117">
        <v>596329</v>
      </c>
      <c r="E19" s="375">
        <f>C19/$C$4*100</f>
        <v>88.978102189781012</v>
      </c>
      <c r="F19" s="375">
        <f>D19/$D$4 *100</f>
        <v>93.889970022168484</v>
      </c>
    </row>
    <row r="20" spans="1:11" ht="16.149999999999999" customHeight="1">
      <c r="A20" s="95" t="s">
        <v>395</v>
      </c>
      <c r="B20" s="117">
        <v>51</v>
      </c>
      <c r="C20" s="117">
        <v>3</v>
      </c>
      <c r="D20" s="117">
        <v>48</v>
      </c>
      <c r="E20" s="375">
        <f>C20/$C$4</f>
        <v>1.0427528675703858E-4</v>
      </c>
      <c r="F20" s="375">
        <f>D20/$D$4 *100</f>
        <v>7.5574365175332522E-3</v>
      </c>
    </row>
    <row r="21" spans="1:11" ht="14.45" customHeight="1">
      <c r="A21" s="107" t="s">
        <v>396</v>
      </c>
      <c r="B21" s="117">
        <v>2388</v>
      </c>
      <c r="C21" s="117">
        <v>269</v>
      </c>
      <c r="D21" s="117">
        <v>2119</v>
      </c>
      <c r="E21" s="375">
        <f>C21/$C$4*100</f>
        <v>0.93500173792144592</v>
      </c>
      <c r="F21" s="375">
        <f>D21/$D$4 *100</f>
        <v>0.33362933293027008</v>
      </c>
    </row>
    <row r="22" spans="1:11" ht="14.45" customHeight="1">
      <c r="A22" s="227" t="s">
        <v>370</v>
      </c>
      <c r="B22" s="128"/>
      <c r="C22" s="128"/>
      <c r="D22" s="128"/>
      <c r="E22" s="377"/>
      <c r="F22" s="377"/>
    </row>
    <row r="23" spans="1:11" ht="14.45" customHeight="1">
      <c r="A23" s="62" t="s">
        <v>397</v>
      </c>
      <c r="B23" s="62"/>
      <c r="C23" s="62"/>
      <c r="D23" s="347"/>
    </row>
    <row r="24" spans="1:11" ht="56.25" customHeight="1">
      <c r="A24" s="396" t="s">
        <v>401</v>
      </c>
      <c r="B24" s="396"/>
      <c r="C24" s="396"/>
      <c r="D24" s="396"/>
      <c r="E24" s="396"/>
      <c r="F24" s="200"/>
      <c r="G24" s="198"/>
      <c r="H24" s="198"/>
      <c r="I24" s="198"/>
      <c r="J24" s="198"/>
      <c r="K24" s="198"/>
    </row>
    <row r="25" spans="1:11" ht="14.45" customHeight="1">
      <c r="A25" s="109" t="s">
        <v>399</v>
      </c>
      <c r="B25" s="371"/>
      <c r="C25" s="109"/>
      <c r="D25" s="200"/>
      <c r="E25" s="200"/>
    </row>
    <row r="26" spans="1:11" ht="14.45" customHeight="1">
      <c r="B26" s="346"/>
    </row>
  </sheetData>
  <mergeCells count="16">
    <mergeCell ref="A9:E9"/>
    <mergeCell ref="A11:E11"/>
    <mergeCell ref="A1:F1"/>
    <mergeCell ref="A2:A3"/>
    <mergeCell ref="B2:B3"/>
    <mergeCell ref="C2:C3"/>
    <mergeCell ref="D2:D3"/>
    <mergeCell ref="E2:F2"/>
    <mergeCell ref="C16:C17"/>
    <mergeCell ref="D16:D17"/>
    <mergeCell ref="E16:F16"/>
    <mergeCell ref="A10:E10"/>
    <mergeCell ref="A24:E24"/>
    <mergeCell ref="A15:F15"/>
    <mergeCell ref="A16:A17"/>
    <mergeCell ref="B16:B17"/>
  </mergeCells>
  <pageMargins left="0.511811024" right="0.511811024" top="0.78740157499999996" bottom="0.78740157499999996" header="0.31496062000000002" footer="0.3149606200000000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0A9CC-0ABB-4AB4-864D-E4DC7E4E12D4}">
  <dimension ref="A1:J30"/>
  <sheetViews>
    <sheetView workbookViewId="0">
      <selection activeCell="A30" sqref="A30"/>
    </sheetView>
  </sheetViews>
  <sheetFormatPr defaultRowHeight="14.45"/>
  <cols>
    <col min="1" max="1" width="85.7109375" customWidth="1"/>
    <col min="2" max="4" width="20.85546875" customWidth="1"/>
    <col min="5" max="5" width="28.140625" customWidth="1"/>
    <col min="6" max="6" width="31.5703125" customWidth="1"/>
  </cols>
  <sheetData>
    <row r="1" spans="1:10" ht="25.9" customHeight="1">
      <c r="A1" s="424" t="s">
        <v>402</v>
      </c>
      <c r="B1" s="400"/>
      <c r="C1" s="434"/>
      <c r="D1" s="434"/>
      <c r="E1" s="400"/>
      <c r="F1" s="400"/>
    </row>
    <row r="2" spans="1:10" ht="16.149999999999999">
      <c r="A2" s="438" t="s">
        <v>403</v>
      </c>
      <c r="B2" s="430" t="s">
        <v>180</v>
      </c>
      <c r="C2" s="439" t="s">
        <v>253</v>
      </c>
      <c r="D2" s="439" t="s">
        <v>199</v>
      </c>
      <c r="E2" s="441" t="s">
        <v>184</v>
      </c>
      <c r="F2" s="442"/>
    </row>
    <row r="3" spans="1:10" ht="16.149999999999999">
      <c r="A3" s="438"/>
      <c r="B3" s="430"/>
      <c r="C3" s="440"/>
      <c r="D3" s="439"/>
      <c r="E3" s="120" t="s">
        <v>253</v>
      </c>
      <c r="F3" s="115" t="s">
        <v>199</v>
      </c>
    </row>
    <row r="4" spans="1:10" ht="16.149999999999999">
      <c r="A4" s="104" t="s">
        <v>384</v>
      </c>
      <c r="B4" s="121">
        <v>888791</v>
      </c>
      <c r="C4" s="122">
        <v>50646</v>
      </c>
      <c r="D4" s="121">
        <v>838145</v>
      </c>
      <c r="E4" s="123">
        <v>100</v>
      </c>
      <c r="F4" s="124">
        <v>99.999999999999986</v>
      </c>
    </row>
    <row r="5" spans="1:10" ht="16.149999999999999">
      <c r="A5" s="125" t="s">
        <v>404</v>
      </c>
      <c r="B5" s="126">
        <v>4664</v>
      </c>
      <c r="C5" s="127">
        <v>205</v>
      </c>
      <c r="D5" s="126">
        <v>4459</v>
      </c>
      <c r="E5" s="314">
        <v>0.7</v>
      </c>
      <c r="F5" s="383">
        <v>0.7</v>
      </c>
    </row>
    <row r="6" spans="1:10" ht="16.149999999999999">
      <c r="A6" s="125" t="s">
        <v>405</v>
      </c>
      <c r="B6" s="126">
        <v>183806</v>
      </c>
      <c r="C6" s="127">
        <v>9285</v>
      </c>
      <c r="D6" s="126">
        <v>174521</v>
      </c>
      <c r="E6" s="384">
        <v>32</v>
      </c>
      <c r="F6" s="385">
        <v>27.3</v>
      </c>
    </row>
    <row r="7" spans="1:10" ht="16.149999999999999">
      <c r="A7" s="107" t="s">
        <v>406</v>
      </c>
      <c r="B7" s="126">
        <v>360430</v>
      </c>
      <c r="C7" s="127">
        <v>14205</v>
      </c>
      <c r="D7" s="126">
        <v>346225</v>
      </c>
      <c r="E7" s="384">
        <v>49</v>
      </c>
      <c r="F7" s="385">
        <v>54.1</v>
      </c>
    </row>
    <row r="8" spans="1:10" ht="16.149999999999999">
      <c r="A8" s="107" t="s">
        <v>407</v>
      </c>
      <c r="B8" s="126">
        <v>112980</v>
      </c>
      <c r="C8" s="127">
        <v>4761</v>
      </c>
      <c r="D8" s="126">
        <v>108219</v>
      </c>
      <c r="E8" s="384">
        <v>16.399999999999999</v>
      </c>
      <c r="F8" s="385">
        <v>16.899999999999999</v>
      </c>
    </row>
    <row r="9" spans="1:10" ht="16.149999999999999">
      <c r="A9" s="107" t="s">
        <v>408</v>
      </c>
      <c r="B9" s="126">
        <v>4774</v>
      </c>
      <c r="C9" s="127">
        <v>402</v>
      </c>
      <c r="D9" s="126">
        <v>4372</v>
      </c>
      <c r="E9" s="384">
        <v>1.4</v>
      </c>
      <c r="F9" s="385">
        <v>0.7</v>
      </c>
    </row>
    <row r="10" spans="1:10" ht="16.149999999999999">
      <c r="A10" s="125" t="s">
        <v>409</v>
      </c>
      <c r="B10" s="126">
        <v>1750</v>
      </c>
      <c r="C10" s="127">
        <v>103</v>
      </c>
      <c r="D10" s="126">
        <v>1647</v>
      </c>
      <c r="E10" s="384">
        <v>0.4</v>
      </c>
      <c r="F10" s="385">
        <v>0.3</v>
      </c>
    </row>
    <row r="11" spans="1:10" ht="16.149999999999999">
      <c r="A11" s="125" t="s">
        <v>410</v>
      </c>
      <c r="B11" s="126">
        <v>166</v>
      </c>
      <c r="C11" s="127">
        <v>14</v>
      </c>
      <c r="D11" s="126">
        <v>152</v>
      </c>
      <c r="E11" s="384">
        <v>0</v>
      </c>
      <c r="F11" s="385">
        <v>0</v>
      </c>
      <c r="H11" s="390"/>
      <c r="I11" s="390"/>
      <c r="J11" s="390"/>
    </row>
    <row r="12" spans="1:10" ht="16.149999999999999">
      <c r="A12" s="109" t="s">
        <v>370</v>
      </c>
      <c r="B12" s="128"/>
      <c r="C12" s="129"/>
      <c r="D12" s="130"/>
      <c r="H12" s="390"/>
      <c r="I12" s="390"/>
      <c r="J12" s="390"/>
    </row>
    <row r="13" spans="1:10" ht="32.450000000000003" customHeight="1">
      <c r="A13" s="437" t="s">
        <v>411</v>
      </c>
      <c r="B13" s="437"/>
      <c r="C13" s="437"/>
      <c r="D13" s="437"/>
      <c r="E13" s="437"/>
      <c r="F13" s="437"/>
      <c r="H13" s="390"/>
      <c r="I13" s="391"/>
      <c r="J13" s="390"/>
    </row>
    <row r="14" spans="1:10">
      <c r="A14" s="380" t="s">
        <v>412</v>
      </c>
      <c r="C14" s="146"/>
      <c r="H14" s="390"/>
      <c r="I14" s="390"/>
      <c r="J14" s="390"/>
    </row>
    <row r="15" spans="1:10" ht="25.15">
      <c r="A15" s="380" t="s">
        <v>413</v>
      </c>
      <c r="B15" s="146"/>
      <c r="H15" s="390"/>
      <c r="I15" s="390"/>
      <c r="J15" s="390"/>
    </row>
    <row r="16" spans="1:10" ht="16.149999999999999">
      <c r="A16" s="424" t="s">
        <v>414</v>
      </c>
      <c r="B16" s="400"/>
      <c r="C16" s="434"/>
      <c r="D16" s="434"/>
      <c r="E16" s="400"/>
      <c r="F16" s="400"/>
    </row>
    <row r="17" spans="1:6" ht="16.149999999999999">
      <c r="A17" s="438" t="s">
        <v>403</v>
      </c>
      <c r="B17" s="430" t="s">
        <v>180</v>
      </c>
      <c r="C17" s="439" t="s">
        <v>253</v>
      </c>
      <c r="D17" s="439" t="s">
        <v>199</v>
      </c>
      <c r="E17" s="441" t="s">
        <v>184</v>
      </c>
      <c r="F17" s="442"/>
    </row>
    <row r="18" spans="1:6" ht="16.149999999999999">
      <c r="A18" s="438"/>
      <c r="B18" s="430"/>
      <c r="C18" s="440"/>
      <c r="D18" s="439"/>
      <c r="E18" s="120" t="s">
        <v>253</v>
      </c>
      <c r="F18" s="115" t="s">
        <v>199</v>
      </c>
    </row>
    <row r="19" spans="1:6" ht="16.149999999999999">
      <c r="A19" s="104" t="s">
        <v>384</v>
      </c>
      <c r="B19" s="121">
        <v>850377</v>
      </c>
      <c r="C19" s="122">
        <v>46602</v>
      </c>
      <c r="D19" s="121">
        <v>803775</v>
      </c>
      <c r="E19" s="123">
        <v>100</v>
      </c>
      <c r="F19" s="124">
        <v>99.999999999999986</v>
      </c>
    </row>
    <row r="20" spans="1:6" ht="16.149999999999999">
      <c r="A20" s="125" t="s">
        <v>404</v>
      </c>
      <c r="B20" s="126">
        <v>5989</v>
      </c>
      <c r="C20" s="127">
        <v>115</v>
      </c>
      <c r="D20" s="126">
        <v>5874</v>
      </c>
      <c r="E20" s="131">
        <f>C20*100/C19</f>
        <v>0.24677052487017725</v>
      </c>
      <c r="F20" s="132">
        <f>D20*100/D19</f>
        <v>0.73080153027899597</v>
      </c>
    </row>
    <row r="21" spans="1:6" ht="16.149999999999999">
      <c r="A21" s="125" t="s">
        <v>405</v>
      </c>
      <c r="B21" s="126">
        <v>202893</v>
      </c>
      <c r="C21" s="127">
        <v>12556</v>
      </c>
      <c r="D21" s="126">
        <v>190337</v>
      </c>
      <c r="E21" s="131">
        <f>C21*100/C19</f>
        <v>26.943049654521264</v>
      </c>
      <c r="F21" s="132">
        <f>D21*100/D19</f>
        <v>23.680383191813629</v>
      </c>
    </row>
    <row r="22" spans="1:6" ht="16.149999999999999">
      <c r="A22" s="107" t="s">
        <v>406</v>
      </c>
      <c r="B22" s="126">
        <v>350211</v>
      </c>
      <c r="C22" s="127">
        <v>13939</v>
      </c>
      <c r="D22" s="126">
        <v>336272</v>
      </c>
      <c r="E22" s="131">
        <f>C22*100/C19</f>
        <v>29.910733444916527</v>
      </c>
      <c r="F22" s="132">
        <f>D22*100/D19</f>
        <v>41.836583621038223</v>
      </c>
    </row>
    <row r="23" spans="1:6" ht="16.149999999999999">
      <c r="A23" s="107" t="s">
        <v>407</v>
      </c>
      <c r="B23" s="126">
        <v>185733</v>
      </c>
      <c r="C23" s="127">
        <v>10523</v>
      </c>
      <c r="D23" s="126">
        <v>175210</v>
      </c>
      <c r="E23" s="131">
        <f>C23*100/C19</f>
        <v>22.580575940946741</v>
      </c>
      <c r="F23" s="132">
        <f>D23*100/D19</f>
        <v>21.798388852601786</v>
      </c>
    </row>
    <row r="24" spans="1:6" ht="16.149999999999999">
      <c r="A24" s="107" t="s">
        <v>408</v>
      </c>
      <c r="B24" s="126">
        <v>103009</v>
      </c>
      <c r="C24" s="127">
        <v>9314</v>
      </c>
      <c r="D24" s="126">
        <v>93695</v>
      </c>
      <c r="E24" s="131">
        <f>C24*100/C19</f>
        <v>19.986266683833311</v>
      </c>
      <c r="F24" s="132">
        <f>D24*100/D19</f>
        <v>11.656869148704551</v>
      </c>
    </row>
    <row r="25" spans="1:6" ht="16.149999999999999">
      <c r="A25" s="125" t="s">
        <v>409</v>
      </c>
      <c r="B25" s="126">
        <v>2330</v>
      </c>
      <c r="C25" s="127">
        <v>137</v>
      </c>
      <c r="D25" s="126">
        <v>2193</v>
      </c>
      <c r="E25" s="131">
        <f>C25*100/C19</f>
        <v>0.29397879919316766</v>
      </c>
      <c r="F25" s="132">
        <f>D25*100/D19</f>
        <v>0.27283754782121861</v>
      </c>
    </row>
    <row r="26" spans="1:6" ht="16.149999999999999">
      <c r="A26" s="125" t="s">
        <v>410</v>
      </c>
      <c r="B26" s="126">
        <v>212</v>
      </c>
      <c r="C26" s="127">
        <v>18</v>
      </c>
      <c r="D26" s="126">
        <v>194</v>
      </c>
      <c r="E26" s="131">
        <f>C26*100/C19</f>
        <v>3.8624951718810349E-2</v>
      </c>
      <c r="F26" s="132">
        <f>D26*100/D19</f>
        <v>2.4136107741594352E-2</v>
      </c>
    </row>
    <row r="27" spans="1:6" ht="16.149999999999999">
      <c r="A27" s="109" t="s">
        <v>370</v>
      </c>
      <c r="B27" s="128"/>
      <c r="C27" s="129"/>
      <c r="D27" s="130"/>
      <c r="E27" s="133"/>
    </row>
    <row r="28" spans="1:6" ht="32.450000000000003" customHeight="1">
      <c r="A28" s="404" t="s">
        <v>415</v>
      </c>
      <c r="B28" s="437"/>
      <c r="C28" s="437"/>
      <c r="D28" s="437"/>
      <c r="E28" s="437"/>
      <c r="F28" s="437"/>
    </row>
    <row r="29" spans="1:6">
      <c r="E29" s="133"/>
    </row>
    <row r="30" spans="1:6">
      <c r="B30" s="146"/>
      <c r="C30" s="146"/>
    </row>
  </sheetData>
  <mergeCells count="14">
    <mergeCell ref="A13:F13"/>
    <mergeCell ref="A28:F28"/>
    <mergeCell ref="A1:F1"/>
    <mergeCell ref="A2:A3"/>
    <mergeCell ref="B2:B3"/>
    <mergeCell ref="C2:C3"/>
    <mergeCell ref="D2:D3"/>
    <mergeCell ref="E2:F2"/>
    <mergeCell ref="A16:F16"/>
    <mergeCell ref="A17:A18"/>
    <mergeCell ref="B17:B18"/>
    <mergeCell ref="C17:C18"/>
    <mergeCell ref="D17:D18"/>
    <mergeCell ref="E17:F17"/>
  </mergeCells>
  <pageMargins left="0.511811024" right="0.511811024" top="0.78740157499999996" bottom="0.78740157499999996" header="0.31496062000000002" footer="0.3149606200000000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FB110-EB65-4974-BA0F-7C6EB0AFAC21}">
  <dimension ref="A1:K38"/>
  <sheetViews>
    <sheetView topLeftCell="A13" workbookViewId="0">
      <selection activeCell="A36" sqref="A36:E36"/>
    </sheetView>
  </sheetViews>
  <sheetFormatPr defaultRowHeight="14.45"/>
  <cols>
    <col min="1" max="1" width="80" customWidth="1"/>
    <col min="2" max="4" width="18.140625" customWidth="1"/>
    <col min="5" max="5" width="22.7109375" customWidth="1"/>
    <col min="6" max="6" width="21.42578125" customWidth="1"/>
  </cols>
  <sheetData>
    <row r="1" spans="1:11" ht="50.25" customHeight="1">
      <c r="A1" s="424" t="s">
        <v>416</v>
      </c>
      <c r="B1" s="400"/>
      <c r="C1" s="434"/>
      <c r="D1" s="434"/>
      <c r="E1" s="400"/>
      <c r="F1" s="400"/>
    </row>
    <row r="2" spans="1:11" ht="16.149999999999999">
      <c r="A2" s="428" t="s">
        <v>417</v>
      </c>
      <c r="B2" s="435" t="s">
        <v>180</v>
      </c>
      <c r="C2" s="432" t="s">
        <v>253</v>
      </c>
      <c r="D2" s="432" t="s">
        <v>199</v>
      </c>
      <c r="E2" s="450" t="s">
        <v>184</v>
      </c>
      <c r="F2" s="441"/>
    </row>
    <row r="3" spans="1:11" ht="16.149999999999999">
      <c r="A3" s="429"/>
      <c r="B3" s="436"/>
      <c r="C3" s="432"/>
      <c r="D3" s="432"/>
      <c r="E3" s="114" t="s">
        <v>253</v>
      </c>
      <c r="F3" s="115" t="s">
        <v>199</v>
      </c>
    </row>
    <row r="4" spans="1:11" ht="16.149999999999999">
      <c r="A4" s="104" t="s">
        <v>384</v>
      </c>
      <c r="B4" s="196">
        <v>663906</v>
      </c>
      <c r="C4" s="197">
        <v>28770</v>
      </c>
      <c r="D4" s="197">
        <v>635136</v>
      </c>
      <c r="E4" s="105">
        <v>100</v>
      </c>
      <c r="F4" s="105">
        <v>100</v>
      </c>
      <c r="H4" s="390"/>
      <c r="I4" s="390"/>
      <c r="J4" s="390"/>
      <c r="K4" s="390"/>
    </row>
    <row r="5" spans="1:11" ht="16.149999999999999">
      <c r="A5" s="125" t="s">
        <v>418</v>
      </c>
      <c r="B5" s="117">
        <v>123436</v>
      </c>
      <c r="C5" s="117">
        <v>4076</v>
      </c>
      <c r="D5" s="117">
        <v>119360</v>
      </c>
      <c r="E5" s="113">
        <v>14.281709880868956</v>
      </c>
      <c r="F5" s="113">
        <v>17.227120591287431</v>
      </c>
      <c r="H5" s="390"/>
      <c r="I5" s="390"/>
      <c r="J5" s="390"/>
      <c r="K5" s="390"/>
    </row>
    <row r="6" spans="1:11" ht="16.149999999999999">
      <c r="A6" s="125" t="s">
        <v>419</v>
      </c>
      <c r="B6" s="117">
        <v>272182</v>
      </c>
      <c r="C6" s="117">
        <v>7642</v>
      </c>
      <c r="D6" s="117">
        <v>264540</v>
      </c>
      <c r="E6" s="113">
        <v>26.776454099509461</v>
      </c>
      <c r="F6" s="113">
        <v>38.180818374825542</v>
      </c>
      <c r="H6" s="390"/>
      <c r="I6" s="391"/>
      <c r="J6" s="390"/>
      <c r="K6" s="390"/>
    </row>
    <row r="7" spans="1:11" ht="16.149999999999999">
      <c r="A7" s="125" t="s">
        <v>420</v>
      </c>
      <c r="B7" s="117">
        <v>24085</v>
      </c>
      <c r="C7" s="117">
        <v>946</v>
      </c>
      <c r="D7" s="117">
        <v>47224</v>
      </c>
      <c r="E7" s="113">
        <v>3.3146461107217942</v>
      </c>
      <c r="F7" s="113">
        <v>6.8157971079336264</v>
      </c>
      <c r="H7" s="390"/>
      <c r="I7" s="390"/>
      <c r="J7" s="390"/>
      <c r="K7" s="390"/>
    </row>
    <row r="8" spans="1:11" ht="16.149999999999999">
      <c r="A8" s="125" t="s">
        <v>421</v>
      </c>
      <c r="B8" s="117">
        <v>17172</v>
      </c>
      <c r="C8" s="117">
        <v>584</v>
      </c>
      <c r="D8" s="117">
        <v>16588</v>
      </c>
      <c r="E8" s="113">
        <v>2.04625087596356</v>
      </c>
      <c r="F8" s="113">
        <v>2.3941310017449386</v>
      </c>
      <c r="H8" s="390"/>
      <c r="I8" s="390"/>
      <c r="J8" s="390"/>
      <c r="K8" s="390"/>
    </row>
    <row r="9" spans="1:11" ht="16.149999999999999">
      <c r="A9" s="125" t="s">
        <v>422</v>
      </c>
      <c r="B9" s="117">
        <v>3117</v>
      </c>
      <c r="C9" s="117">
        <v>95</v>
      </c>
      <c r="D9" s="117">
        <v>3022</v>
      </c>
      <c r="E9" s="113">
        <v>0.33286615276804488</v>
      </c>
      <c r="F9" s="113">
        <v>0.43616252033236103</v>
      </c>
      <c r="H9" s="390"/>
      <c r="I9" s="390"/>
      <c r="J9" s="390"/>
      <c r="K9" s="390"/>
    </row>
    <row r="10" spans="1:11" ht="16.149999999999999">
      <c r="A10" s="125" t="s">
        <v>423</v>
      </c>
      <c r="B10" s="117">
        <v>3990</v>
      </c>
      <c r="C10" s="117">
        <v>91</v>
      </c>
      <c r="D10" s="117">
        <v>3899</v>
      </c>
      <c r="E10" s="113">
        <v>0.31885073580939033</v>
      </c>
      <c r="F10" s="113">
        <v>0.56273913526666963</v>
      </c>
      <c r="H10" s="390"/>
      <c r="I10" s="390"/>
      <c r="J10" s="390"/>
      <c r="K10" s="390"/>
    </row>
    <row r="11" spans="1:11" ht="16.149999999999999">
      <c r="A11" s="125" t="s">
        <v>424</v>
      </c>
      <c r="B11" s="117">
        <v>205741</v>
      </c>
      <c r="C11" s="117">
        <v>14074</v>
      </c>
      <c r="D11" s="117">
        <v>191667</v>
      </c>
      <c r="E11" s="113">
        <v>49.313244569025898</v>
      </c>
      <c r="F11" s="113">
        <v>27.663124349617021</v>
      </c>
    </row>
    <row r="12" spans="1:11" ht="16.149999999999999">
      <c r="A12" s="125" t="s">
        <v>425</v>
      </c>
      <c r="B12" s="117">
        <v>34452</v>
      </c>
      <c r="C12" s="117">
        <v>514</v>
      </c>
      <c r="D12" s="117">
        <v>33938</v>
      </c>
      <c r="E12" s="113">
        <v>1.8009810791871059</v>
      </c>
      <c r="F12" s="113">
        <v>4.8982407726802348</v>
      </c>
    </row>
    <row r="13" spans="1:11" ht="16.149999999999999">
      <c r="A13" s="125" t="s">
        <v>426</v>
      </c>
      <c r="B13" s="117">
        <v>13141</v>
      </c>
      <c r="C13" s="117">
        <v>518</v>
      </c>
      <c r="D13" s="117">
        <v>12623</v>
      </c>
      <c r="E13" s="113">
        <v>1.8149964961457603</v>
      </c>
      <c r="F13" s="113">
        <v>1.8218661463121752</v>
      </c>
    </row>
    <row r="14" spans="1:11" ht="15" customHeight="1">
      <c r="A14" s="443" t="s">
        <v>370</v>
      </c>
      <c r="B14" s="443"/>
      <c r="C14" s="443"/>
      <c r="D14" s="443"/>
      <c r="E14" s="221"/>
    </row>
    <row r="15" spans="1:11">
      <c r="A15" s="24" t="s">
        <v>427</v>
      </c>
      <c r="B15" s="109"/>
      <c r="C15" s="109"/>
      <c r="D15" s="109"/>
      <c r="E15" s="221"/>
    </row>
    <row r="16" spans="1:11" ht="50.25" customHeight="1">
      <c r="A16" s="404" t="s">
        <v>428</v>
      </c>
      <c r="B16" s="404"/>
      <c r="C16" s="404"/>
      <c r="D16" s="404"/>
      <c r="E16" s="404"/>
    </row>
    <row r="17" spans="1:6">
      <c r="A17" s="134" t="s">
        <v>429</v>
      </c>
      <c r="B17" s="134"/>
      <c r="C17" s="135"/>
      <c r="D17" s="134"/>
    </row>
    <row r="18" spans="1:6" ht="14.45" customHeight="1">
      <c r="A18" s="404" t="s">
        <v>430</v>
      </c>
      <c r="B18" s="404"/>
      <c r="C18" s="404"/>
      <c r="D18" s="404"/>
      <c r="E18" s="404"/>
    </row>
    <row r="20" spans="1:6" ht="27.6" customHeight="1">
      <c r="A20" s="444" t="s">
        <v>431</v>
      </c>
      <c r="B20" s="444"/>
      <c r="C20" s="444"/>
      <c r="D20" s="444"/>
      <c r="E20" s="444"/>
      <c r="F20" s="444"/>
    </row>
    <row r="21" spans="1:6" ht="16.149999999999999" customHeight="1">
      <c r="A21" s="428" t="s">
        <v>417</v>
      </c>
      <c r="B21" s="435" t="s">
        <v>180</v>
      </c>
      <c r="C21" s="446" t="s">
        <v>253</v>
      </c>
      <c r="D21" s="448" t="s">
        <v>199</v>
      </c>
      <c r="E21" s="449" t="s">
        <v>184</v>
      </c>
      <c r="F21" s="449"/>
    </row>
    <row r="22" spans="1:6" ht="16.149999999999999" customHeight="1">
      <c r="A22" s="429"/>
      <c r="B22" s="445"/>
      <c r="C22" s="447"/>
      <c r="D22" s="447"/>
      <c r="E22" s="247" t="s">
        <v>253</v>
      </c>
      <c r="F22" s="248" t="s">
        <v>199</v>
      </c>
    </row>
    <row r="23" spans="1:6" ht="16.149999999999999">
      <c r="A23" s="219" t="s">
        <v>384</v>
      </c>
      <c r="B23" s="196">
        <v>643008</v>
      </c>
      <c r="C23" s="197">
        <v>26876</v>
      </c>
      <c r="D23" s="197">
        <v>616132</v>
      </c>
      <c r="E23" s="105">
        <v>100</v>
      </c>
      <c r="F23" s="105">
        <v>100</v>
      </c>
    </row>
    <row r="24" spans="1:6" ht="16.149999999999999">
      <c r="A24" s="220" t="s">
        <v>418</v>
      </c>
      <c r="B24" s="117">
        <v>114335</v>
      </c>
      <c r="C24" s="117">
        <v>3607</v>
      </c>
      <c r="D24" s="117">
        <v>110728</v>
      </c>
      <c r="E24" s="113">
        <v>13.314876338132152</v>
      </c>
      <c r="F24" s="113">
        <v>16.31159495013479</v>
      </c>
    </row>
    <row r="25" spans="1:6" ht="16.149999999999999">
      <c r="A25" s="220" t="s">
        <v>419</v>
      </c>
      <c r="B25" s="117">
        <v>277243</v>
      </c>
      <c r="C25" s="117">
        <v>7055</v>
      </c>
      <c r="D25" s="117">
        <v>270188</v>
      </c>
      <c r="E25" s="113">
        <v>26.042820228866741</v>
      </c>
      <c r="F25" s="113">
        <v>39.802012285844761</v>
      </c>
    </row>
    <row r="26" spans="1:6" ht="16.149999999999999">
      <c r="A26" s="220" t="s">
        <v>420</v>
      </c>
      <c r="B26" s="117">
        <v>43671</v>
      </c>
      <c r="C26" s="117">
        <v>847</v>
      </c>
      <c r="D26" s="117">
        <v>42824</v>
      </c>
      <c r="E26" s="113">
        <v>3.1266149870801034</v>
      </c>
      <c r="F26" s="113">
        <v>6.3085013921011148</v>
      </c>
    </row>
    <row r="27" spans="1:6" ht="16.149999999999999">
      <c r="A27" s="220" t="s">
        <v>421</v>
      </c>
      <c r="B27" s="117">
        <v>16916</v>
      </c>
      <c r="C27" s="117">
        <v>543</v>
      </c>
      <c r="D27" s="117">
        <v>16373</v>
      </c>
      <c r="E27" s="113">
        <v>2.0044296788482834</v>
      </c>
      <c r="F27" s="113">
        <v>2.4119440802557341</v>
      </c>
    </row>
    <row r="28" spans="1:6" ht="16.149999999999999">
      <c r="A28" s="220" t="s">
        <v>422</v>
      </c>
      <c r="B28" s="117">
        <v>1215</v>
      </c>
      <c r="C28" s="117">
        <v>66</v>
      </c>
      <c r="D28" s="117">
        <v>1149</v>
      </c>
      <c r="E28" s="113">
        <v>0.24363233665559247</v>
      </c>
      <c r="F28" s="113">
        <v>0.16926181812825009</v>
      </c>
    </row>
    <row r="29" spans="1:6" ht="16.149999999999999">
      <c r="A29" s="220" t="s">
        <v>432</v>
      </c>
      <c r="B29" s="117">
        <v>2208</v>
      </c>
      <c r="C29" s="117">
        <v>74</v>
      </c>
      <c r="D29" s="117">
        <v>2134</v>
      </c>
      <c r="E29" s="113">
        <v>0.27316352897748247</v>
      </c>
      <c r="F29" s="113">
        <v>0.31436442113636698</v>
      </c>
    </row>
    <row r="30" spans="1:6" ht="16.149999999999999">
      <c r="A30" s="220" t="s">
        <v>423</v>
      </c>
      <c r="B30" s="117">
        <v>3974</v>
      </c>
      <c r="C30" s="117">
        <v>61</v>
      </c>
      <c r="D30" s="117">
        <v>3913</v>
      </c>
      <c r="E30" s="113">
        <v>0.22517534145441123</v>
      </c>
      <c r="F30" s="113">
        <v>0.57643298027488477</v>
      </c>
    </row>
    <row r="31" spans="1:6" ht="16.149999999999999">
      <c r="A31" s="220" t="s">
        <v>424</v>
      </c>
      <c r="B31" s="117">
        <v>199633</v>
      </c>
      <c r="C31" s="117">
        <v>13829</v>
      </c>
      <c r="D31" s="117">
        <v>185804</v>
      </c>
      <c r="E31" s="113">
        <v>51.048357327427098</v>
      </c>
      <c r="F31" s="113">
        <v>27.37121223281234</v>
      </c>
    </row>
    <row r="32" spans="1:6" ht="16.149999999999999">
      <c r="A32" s="220" t="s">
        <v>425</v>
      </c>
      <c r="B32" s="117">
        <v>34137</v>
      </c>
      <c r="C32" s="117">
        <v>450</v>
      </c>
      <c r="D32" s="117">
        <v>33687</v>
      </c>
      <c r="E32" s="113">
        <v>1.6611295681063123</v>
      </c>
      <c r="F32" s="113">
        <v>4.9625090228775983</v>
      </c>
    </row>
    <row r="33" spans="1:6" ht="16.149999999999999">
      <c r="A33" s="220" t="s">
        <v>426</v>
      </c>
      <c r="B33" s="117">
        <v>12588</v>
      </c>
      <c r="C33" s="117">
        <v>558</v>
      </c>
      <c r="D33" s="117">
        <v>12030</v>
      </c>
      <c r="E33" s="112">
        <v>2.0598006644518274</v>
      </c>
      <c r="F33" s="112">
        <v>1.7721668164341589</v>
      </c>
    </row>
    <row r="34" spans="1:6" ht="16.149999999999999" customHeight="1">
      <c r="A34" s="443" t="s">
        <v>370</v>
      </c>
      <c r="B34" s="443"/>
      <c r="C34" s="443"/>
      <c r="D34" s="443"/>
      <c r="E34" s="221"/>
      <c r="F34" s="221"/>
    </row>
    <row r="35" spans="1:6">
      <c r="A35" s="24" t="s">
        <v>427</v>
      </c>
      <c r="B35" s="109"/>
      <c r="C35" s="109"/>
      <c r="D35" s="109"/>
      <c r="E35" s="221"/>
      <c r="F35" s="221"/>
    </row>
    <row r="36" spans="1:6" ht="40.9" customHeight="1">
      <c r="A36" s="404" t="s">
        <v>433</v>
      </c>
      <c r="B36" s="404"/>
      <c r="C36" s="404"/>
      <c r="D36" s="404"/>
      <c r="E36" s="404"/>
      <c r="F36" s="221"/>
    </row>
    <row r="37" spans="1:6">
      <c r="A37" s="134" t="s">
        <v>429</v>
      </c>
      <c r="B37" s="134"/>
      <c r="C37" s="135"/>
      <c r="D37" s="134"/>
    </row>
    <row r="38" spans="1:6">
      <c r="A38" s="404" t="s">
        <v>430</v>
      </c>
      <c r="B38" s="404"/>
      <c r="C38" s="404"/>
      <c r="D38" s="404"/>
      <c r="E38" s="404"/>
    </row>
  </sheetData>
  <mergeCells count="18">
    <mergeCell ref="A38:E38"/>
    <mergeCell ref="A36:E36"/>
    <mergeCell ref="A34:D34"/>
    <mergeCell ref="A1:F1"/>
    <mergeCell ref="A2:A3"/>
    <mergeCell ref="B2:B3"/>
    <mergeCell ref="C2:C3"/>
    <mergeCell ref="D2:D3"/>
    <mergeCell ref="E2:F2"/>
    <mergeCell ref="A14:D14"/>
    <mergeCell ref="A20:F20"/>
    <mergeCell ref="A21:A22"/>
    <mergeCell ref="B21:B22"/>
    <mergeCell ref="C21:C22"/>
    <mergeCell ref="D21:D22"/>
    <mergeCell ref="E21:F21"/>
    <mergeCell ref="A16:E16"/>
    <mergeCell ref="A18:E18"/>
  </mergeCells>
  <pageMargins left="0.511811024" right="0.511811024" top="0.78740157499999996" bottom="0.78740157499999996" header="0.31496062000000002" footer="0.3149606200000000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A86A3-687E-4A46-8D9D-006E86B63862}">
  <dimension ref="A1:K32"/>
  <sheetViews>
    <sheetView tabSelected="1" topLeftCell="A12" workbookViewId="0">
      <selection activeCell="I13" sqref="I13"/>
    </sheetView>
  </sheetViews>
  <sheetFormatPr defaultRowHeight="14.45"/>
  <cols>
    <col min="1" max="1" width="27.85546875" customWidth="1"/>
    <col min="2" max="2" width="27.42578125" customWidth="1"/>
    <col min="3" max="3" width="27.5703125" customWidth="1"/>
  </cols>
  <sheetData>
    <row r="1" spans="1:11" ht="65.25" customHeight="1">
      <c r="A1" s="451" t="s">
        <v>434</v>
      </c>
      <c r="B1" s="451"/>
      <c r="C1" s="451"/>
    </row>
    <row r="2" spans="1:11" ht="16.149999999999999">
      <c r="A2" s="297" t="s">
        <v>435</v>
      </c>
      <c r="B2" s="297" t="s">
        <v>180</v>
      </c>
      <c r="C2" s="297" t="s">
        <v>184</v>
      </c>
    </row>
    <row r="3" spans="1:11" ht="16.149999999999999">
      <c r="A3" s="136" t="s">
        <v>180</v>
      </c>
      <c r="B3" s="197">
        <v>28770</v>
      </c>
      <c r="C3" s="298">
        <v>99.999999999999986</v>
      </c>
    </row>
    <row r="4" spans="1:11" ht="16.149999999999999">
      <c r="A4" s="138" t="s">
        <v>436</v>
      </c>
      <c r="B4" s="242">
        <v>4442</v>
      </c>
      <c r="C4" s="140">
        <v>15.72</v>
      </c>
    </row>
    <row r="5" spans="1:11" ht="16.149999999999999">
      <c r="A5" s="138" t="s">
        <v>294</v>
      </c>
      <c r="B5" s="242">
        <v>5858</v>
      </c>
      <c r="C5" s="140">
        <v>20.74</v>
      </c>
    </row>
    <row r="6" spans="1:11" ht="16.149999999999999">
      <c r="A6" s="138" t="s">
        <v>437</v>
      </c>
      <c r="B6" s="242">
        <v>5349</v>
      </c>
      <c r="C6" s="140">
        <v>18.93</v>
      </c>
    </row>
    <row r="7" spans="1:11" ht="16.149999999999999">
      <c r="A7" s="138" t="s">
        <v>438</v>
      </c>
      <c r="B7" s="242">
        <v>8471</v>
      </c>
      <c r="C7" s="140">
        <v>29.98</v>
      </c>
    </row>
    <row r="8" spans="1:11" ht="16.149999999999999">
      <c r="A8" s="138" t="s">
        <v>439</v>
      </c>
      <c r="B8" s="242">
        <v>3639</v>
      </c>
      <c r="C8" s="140">
        <v>12.88</v>
      </c>
    </row>
    <row r="9" spans="1:11" ht="16.149999999999999">
      <c r="A9" s="138" t="s">
        <v>440</v>
      </c>
      <c r="B9" s="242">
        <v>447</v>
      </c>
      <c r="C9" s="140">
        <v>1.58</v>
      </c>
    </row>
    <row r="10" spans="1:11" ht="16.149999999999999">
      <c r="A10" s="138" t="s">
        <v>441</v>
      </c>
      <c r="B10" s="242">
        <v>45</v>
      </c>
      <c r="C10" s="140">
        <v>0.16</v>
      </c>
      <c r="E10" s="133"/>
    </row>
    <row r="11" spans="1:11">
      <c r="A11" s="109" t="s">
        <v>370</v>
      </c>
      <c r="B11" s="109"/>
      <c r="C11" s="109"/>
      <c r="D11" s="109"/>
    </row>
    <row r="12" spans="1:11" ht="14.45" customHeight="1">
      <c r="A12" s="62" t="s">
        <v>442</v>
      </c>
      <c r="B12" s="62"/>
      <c r="C12" s="62"/>
      <c r="D12" s="347"/>
      <c r="F12" s="200"/>
      <c r="G12" s="200"/>
      <c r="H12" s="200"/>
      <c r="I12" s="200"/>
      <c r="J12" s="200"/>
      <c r="K12" s="200"/>
    </row>
    <row r="13" spans="1:11" ht="39" customHeight="1">
      <c r="A13" s="396" t="s">
        <v>443</v>
      </c>
      <c r="B13" s="396"/>
      <c r="C13" s="396"/>
      <c r="D13" s="396"/>
      <c r="E13" s="396"/>
      <c r="F13" s="200"/>
      <c r="G13" s="200"/>
      <c r="H13" s="200"/>
      <c r="I13" s="200"/>
      <c r="J13" s="200"/>
      <c r="K13" s="200"/>
    </row>
    <row r="14" spans="1:11">
      <c r="A14" s="109" t="s">
        <v>444</v>
      </c>
      <c r="B14" s="371"/>
      <c r="C14" s="109"/>
      <c r="D14" s="200"/>
      <c r="E14" s="200"/>
    </row>
    <row r="15" spans="1:11">
      <c r="B15" s="146"/>
    </row>
    <row r="16" spans="1:11">
      <c r="B16" s="146"/>
    </row>
    <row r="18" spans="1:11" ht="59.25" customHeight="1">
      <c r="A18" s="451" t="s">
        <v>445</v>
      </c>
      <c r="B18" s="451"/>
      <c r="C18" s="451"/>
    </row>
    <row r="19" spans="1:11" ht="16.149999999999999">
      <c r="A19" s="297" t="s">
        <v>435</v>
      </c>
      <c r="B19" s="297" t="s">
        <v>180</v>
      </c>
      <c r="C19" s="297" t="s">
        <v>184</v>
      </c>
    </row>
    <row r="20" spans="1:11" ht="16.149999999999999">
      <c r="A20" s="136" t="s">
        <v>180</v>
      </c>
      <c r="B20" s="243">
        <v>26876</v>
      </c>
      <c r="C20" s="298">
        <v>99.999999999999986</v>
      </c>
    </row>
    <row r="21" spans="1:11" ht="16.149999999999999">
      <c r="A21" s="138" t="s">
        <v>436</v>
      </c>
      <c r="B21" s="242">
        <v>4207</v>
      </c>
      <c r="C21" s="140">
        <v>15.653371037356751</v>
      </c>
    </row>
    <row r="22" spans="1:11" ht="16.149999999999999">
      <c r="A22" s="138" t="s">
        <v>294</v>
      </c>
      <c r="B22" s="242">
        <v>5248</v>
      </c>
      <c r="C22" s="140">
        <v>19.526715285012649</v>
      </c>
      <c r="E22" s="139"/>
    </row>
    <row r="23" spans="1:11" ht="16.149999999999999">
      <c r="A23" s="138" t="s">
        <v>437</v>
      </c>
      <c r="B23" s="242">
        <v>4856</v>
      </c>
      <c r="C23" s="140">
        <v>18.068164905491887</v>
      </c>
    </row>
    <row r="24" spans="1:11" ht="16.149999999999999">
      <c r="A24" s="138" t="s">
        <v>438</v>
      </c>
      <c r="B24" s="242">
        <v>7834</v>
      </c>
      <c r="C24" s="140">
        <v>29.14868283970829</v>
      </c>
    </row>
    <row r="25" spans="1:11" ht="16.149999999999999">
      <c r="A25" s="138" t="s">
        <v>439</v>
      </c>
      <c r="B25" s="242">
        <v>3282</v>
      </c>
      <c r="C25" s="140">
        <v>12.21163863670189</v>
      </c>
    </row>
    <row r="26" spans="1:11" ht="16.149999999999999">
      <c r="A26" s="138" t="s">
        <v>440</v>
      </c>
      <c r="B26" s="242">
        <v>366</v>
      </c>
      <c r="C26" s="140">
        <v>1.3618097931239768</v>
      </c>
    </row>
    <row r="27" spans="1:11" ht="16.149999999999999">
      <c r="A27" s="138" t="s">
        <v>441</v>
      </c>
      <c r="B27" s="242">
        <v>45</v>
      </c>
      <c r="C27" s="140">
        <v>0.1674356303021283</v>
      </c>
    </row>
    <row r="28" spans="1:11">
      <c r="A28" s="109" t="s">
        <v>370</v>
      </c>
      <c r="B28" s="109"/>
      <c r="C28" s="109"/>
      <c r="D28" s="109"/>
    </row>
    <row r="29" spans="1:11">
      <c r="A29" s="62" t="s">
        <v>442</v>
      </c>
      <c r="B29" s="62"/>
      <c r="C29" s="62"/>
      <c r="D29" s="347"/>
      <c r="F29" s="200"/>
      <c r="G29" s="200"/>
      <c r="H29" s="200"/>
      <c r="I29" s="200"/>
      <c r="J29" s="200"/>
      <c r="K29" s="200"/>
    </row>
    <row r="30" spans="1:11" ht="49.5" customHeight="1">
      <c r="A30" s="396" t="s">
        <v>446</v>
      </c>
      <c r="B30" s="396"/>
      <c r="C30" s="396"/>
      <c r="D30" s="396"/>
      <c r="E30" s="396"/>
      <c r="F30" s="200"/>
      <c r="G30" s="200"/>
      <c r="H30" s="200"/>
      <c r="I30" s="200"/>
      <c r="J30" s="200"/>
      <c r="K30" s="200"/>
    </row>
    <row r="31" spans="1:11">
      <c r="A31" s="109" t="s">
        <v>444</v>
      </c>
      <c r="B31" s="371"/>
      <c r="C31" s="109"/>
      <c r="D31" s="200"/>
      <c r="E31" s="200"/>
    </row>
    <row r="32" spans="1:11">
      <c r="B32" s="146"/>
    </row>
  </sheetData>
  <mergeCells count="4">
    <mergeCell ref="A1:C1"/>
    <mergeCell ref="A18:C18"/>
    <mergeCell ref="A13:E13"/>
    <mergeCell ref="A30:E30"/>
  </mergeCells>
  <pageMargins left="0.511811024" right="0.511811024" top="0.78740157499999996" bottom="0.78740157499999996" header="0.31496062000000002" footer="0.3149606200000000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8AC86-E7E4-4F3F-A506-B289853053C3}">
  <dimension ref="A1:K33"/>
  <sheetViews>
    <sheetView topLeftCell="A13" workbookViewId="0">
      <selection activeCell="A35" sqref="A35"/>
    </sheetView>
  </sheetViews>
  <sheetFormatPr defaultRowHeight="14.45"/>
  <cols>
    <col min="1" max="1" width="46.5703125" customWidth="1"/>
    <col min="2" max="3" width="23.5703125" customWidth="1"/>
  </cols>
  <sheetData>
    <row r="1" spans="1:11" ht="45.75" customHeight="1">
      <c r="A1" s="452" t="s">
        <v>447</v>
      </c>
      <c r="B1" s="452"/>
      <c r="C1" s="452"/>
    </row>
    <row r="2" spans="1:11" ht="16.149999999999999">
      <c r="A2" s="299" t="s">
        <v>448</v>
      </c>
      <c r="B2" s="141" t="s">
        <v>180</v>
      </c>
      <c r="C2" s="142" t="s">
        <v>184</v>
      </c>
    </row>
    <row r="3" spans="1:11" ht="16.149999999999999">
      <c r="A3" s="143" t="s">
        <v>180</v>
      </c>
      <c r="B3" s="278">
        <v>28770</v>
      </c>
      <c r="C3" s="277">
        <v>100</v>
      </c>
    </row>
    <row r="4" spans="1:11" ht="16.149999999999999">
      <c r="A4" s="145" t="s">
        <v>449</v>
      </c>
      <c r="B4" s="279">
        <v>381</v>
      </c>
      <c r="C4" s="222">
        <v>1.41</v>
      </c>
    </row>
    <row r="5" spans="1:11" ht="16.149999999999999">
      <c r="A5" s="340" t="s">
        <v>450</v>
      </c>
      <c r="B5" s="279">
        <v>671</v>
      </c>
      <c r="C5" s="223">
        <v>2.48</v>
      </c>
    </row>
    <row r="6" spans="1:11" ht="16.149999999999999">
      <c r="A6" s="276" t="s">
        <v>451</v>
      </c>
      <c r="B6" s="339">
        <v>11061</v>
      </c>
      <c r="C6" s="223">
        <v>40.96</v>
      </c>
    </row>
    <row r="7" spans="1:11" ht="16.149999999999999">
      <c r="A7" s="276" t="s">
        <v>452</v>
      </c>
      <c r="B7" s="339">
        <v>2926</v>
      </c>
      <c r="C7" s="223">
        <v>10.84</v>
      </c>
    </row>
    <row r="8" spans="1:11" ht="16.149999999999999">
      <c r="A8" s="276" t="s">
        <v>453</v>
      </c>
      <c r="B8" s="339">
        <v>5141</v>
      </c>
      <c r="C8" s="223">
        <v>19.04</v>
      </c>
    </row>
    <row r="9" spans="1:11" ht="16.149999999999999">
      <c r="A9" s="276" t="s">
        <v>454</v>
      </c>
      <c r="B9" s="339">
        <v>5512</v>
      </c>
      <c r="C9" s="223">
        <v>20.41</v>
      </c>
      <c r="G9" s="139"/>
    </row>
    <row r="10" spans="1:11" ht="16.149999999999999">
      <c r="A10" s="276" t="s">
        <v>455</v>
      </c>
      <c r="B10" s="339">
        <v>774</v>
      </c>
      <c r="C10" s="223">
        <v>2.87</v>
      </c>
      <c r="E10" s="146"/>
      <c r="I10" s="146"/>
    </row>
    <row r="11" spans="1:11" ht="16.149999999999999">
      <c r="A11" s="276" t="s">
        <v>456</v>
      </c>
      <c r="B11" s="339">
        <v>584</v>
      </c>
      <c r="C11" s="223">
        <v>1.84</v>
      </c>
      <c r="K11" s="118"/>
    </row>
    <row r="12" spans="1:11" ht="16.149999999999999">
      <c r="A12" s="276" t="s">
        <v>457</v>
      </c>
      <c r="B12" s="339">
        <v>42</v>
      </c>
      <c r="C12" s="223">
        <v>0.16</v>
      </c>
    </row>
    <row r="13" spans="1:11" ht="14.45" customHeight="1">
      <c r="A13" s="109" t="s">
        <v>370</v>
      </c>
      <c r="B13" s="109"/>
      <c r="C13" s="109"/>
      <c r="D13" s="109"/>
      <c r="F13" s="146"/>
    </row>
    <row r="14" spans="1:11" ht="14.45" customHeight="1">
      <c r="A14" s="62" t="s">
        <v>458</v>
      </c>
      <c r="B14" s="62"/>
      <c r="C14" s="62"/>
      <c r="D14" s="347"/>
      <c r="F14" s="200"/>
      <c r="G14" s="200"/>
      <c r="H14" s="200"/>
      <c r="I14" s="200"/>
      <c r="J14" s="200"/>
      <c r="K14" s="200"/>
    </row>
    <row r="15" spans="1:11" ht="47.25" customHeight="1">
      <c r="A15" s="396" t="s">
        <v>443</v>
      </c>
      <c r="B15" s="396"/>
      <c r="C15" s="396"/>
      <c r="D15" s="396"/>
      <c r="E15" s="396"/>
      <c r="F15" s="200"/>
      <c r="G15" s="200"/>
      <c r="H15" s="200"/>
      <c r="I15" s="200"/>
      <c r="J15" s="200"/>
      <c r="K15" s="200"/>
    </row>
    <row r="16" spans="1:11">
      <c r="A16" s="109" t="s">
        <v>459</v>
      </c>
      <c r="B16" s="371"/>
      <c r="C16" s="109"/>
      <c r="D16" s="200"/>
      <c r="E16" s="200"/>
    </row>
    <row r="17" spans="1:11">
      <c r="B17" s="118"/>
    </row>
    <row r="18" spans="1:11" ht="51" customHeight="1">
      <c r="A18" s="451" t="s">
        <v>460</v>
      </c>
      <c r="B18" s="451"/>
      <c r="C18" s="451"/>
    </row>
    <row r="19" spans="1:11" ht="16.149999999999999">
      <c r="A19" s="142" t="s">
        <v>448</v>
      </c>
      <c r="B19" s="141" t="s">
        <v>180</v>
      </c>
      <c r="C19" s="142" t="s">
        <v>184</v>
      </c>
    </row>
    <row r="20" spans="1:11" ht="16.149999999999999">
      <c r="A20" s="300" t="s">
        <v>180</v>
      </c>
      <c r="B20" s="301">
        <v>26876</v>
      </c>
      <c r="C20" s="302">
        <v>100</v>
      </c>
    </row>
    <row r="21" spans="1:11" ht="16.149999999999999">
      <c r="A21" s="145" t="s">
        <v>449</v>
      </c>
      <c r="B21" s="279">
        <v>408</v>
      </c>
      <c r="C21" s="222">
        <v>1.6</v>
      </c>
    </row>
    <row r="22" spans="1:11" ht="16.149999999999999">
      <c r="A22" s="145" t="s">
        <v>450</v>
      </c>
      <c r="B22" s="279">
        <v>615</v>
      </c>
      <c r="C22" s="223">
        <v>2.5</v>
      </c>
    </row>
    <row r="23" spans="1:11" ht="16.149999999999999">
      <c r="A23" s="145" t="s">
        <v>451</v>
      </c>
      <c r="B23" s="279">
        <v>10321</v>
      </c>
      <c r="C23" s="223">
        <v>41.5</v>
      </c>
    </row>
    <row r="24" spans="1:11" ht="16.149999999999999">
      <c r="A24" s="145" t="s">
        <v>452</v>
      </c>
      <c r="B24" s="279">
        <v>2457</v>
      </c>
      <c r="C24" s="223">
        <v>9.9</v>
      </c>
    </row>
    <row r="25" spans="1:11" ht="16.149999999999999">
      <c r="A25" s="145" t="s">
        <v>453</v>
      </c>
      <c r="B25" s="279">
        <v>4903</v>
      </c>
      <c r="C25" s="223">
        <v>19.7</v>
      </c>
    </row>
    <row r="26" spans="1:11" ht="16.149999999999999">
      <c r="A26" s="145" t="s">
        <v>454</v>
      </c>
      <c r="B26" s="279">
        <v>4968</v>
      </c>
      <c r="C26" s="223">
        <v>20</v>
      </c>
      <c r="G26" s="139"/>
    </row>
    <row r="27" spans="1:11" ht="16.149999999999999">
      <c r="A27" s="145" t="s">
        <v>455</v>
      </c>
      <c r="B27" s="279">
        <v>680</v>
      </c>
      <c r="C27" s="223">
        <v>2.7</v>
      </c>
      <c r="I27" s="146"/>
    </row>
    <row r="28" spans="1:11" ht="16.149999999999999">
      <c r="A28" s="145" t="s">
        <v>456</v>
      </c>
      <c r="B28" s="279">
        <v>497</v>
      </c>
      <c r="C28" s="223">
        <v>2</v>
      </c>
      <c r="K28" s="118"/>
    </row>
    <row r="29" spans="1:11" ht="16.149999999999999">
      <c r="A29" s="145" t="s">
        <v>457</v>
      </c>
      <c r="B29" s="279">
        <v>31</v>
      </c>
      <c r="C29" s="223">
        <v>0.1</v>
      </c>
    </row>
    <row r="30" spans="1:11" ht="14.45" customHeight="1">
      <c r="A30" s="109" t="s">
        <v>370</v>
      </c>
      <c r="B30" s="109"/>
      <c r="C30" s="109"/>
      <c r="D30" s="109"/>
      <c r="F30" s="146"/>
    </row>
    <row r="31" spans="1:11" ht="14.45" customHeight="1">
      <c r="A31" s="62" t="s">
        <v>458</v>
      </c>
      <c r="B31" s="62"/>
      <c r="C31" s="62"/>
      <c r="D31" s="347"/>
      <c r="F31" s="200"/>
      <c r="G31" s="200"/>
      <c r="H31" s="200"/>
      <c r="I31" s="200"/>
      <c r="J31" s="200"/>
      <c r="K31" s="200"/>
    </row>
    <row r="32" spans="1:11" ht="42" customHeight="1">
      <c r="A32" s="396" t="s">
        <v>446</v>
      </c>
      <c r="B32" s="396"/>
      <c r="C32" s="396"/>
      <c r="D32" s="396"/>
      <c r="E32" s="396"/>
      <c r="F32" s="200"/>
      <c r="G32" s="200"/>
      <c r="H32" s="200"/>
      <c r="I32" s="200"/>
      <c r="J32" s="200"/>
      <c r="K32" s="200"/>
    </row>
    <row r="33" spans="1:5">
      <c r="A33" s="109" t="s">
        <v>459</v>
      </c>
      <c r="B33" s="371"/>
      <c r="C33" s="109"/>
      <c r="D33" s="200"/>
      <c r="E33" s="200"/>
    </row>
  </sheetData>
  <mergeCells count="4">
    <mergeCell ref="A1:C1"/>
    <mergeCell ref="A18:C18"/>
    <mergeCell ref="A32:E32"/>
    <mergeCell ref="A15:E15"/>
  </mergeCells>
  <pageMargins left="0.511811024" right="0.511811024" top="0.78740157499999996" bottom="0.78740157499999996" header="0.31496062000000002" footer="0.3149606200000000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E39F3-3ADC-4C16-93FE-D280960D7E81}">
  <dimension ref="A1:K26"/>
  <sheetViews>
    <sheetView topLeftCell="A6" workbookViewId="0">
      <selection activeCell="A13" sqref="A13"/>
    </sheetView>
  </sheetViews>
  <sheetFormatPr defaultRowHeight="14.45"/>
  <cols>
    <col min="1" max="1" width="83.5703125" customWidth="1"/>
    <col min="2" max="2" width="18.42578125" customWidth="1"/>
    <col min="3" max="3" width="46.42578125" customWidth="1"/>
  </cols>
  <sheetData>
    <row r="1" spans="1:11" ht="39.75" customHeight="1">
      <c r="A1" s="452" t="s">
        <v>461</v>
      </c>
      <c r="B1" s="452"/>
      <c r="C1" s="452"/>
    </row>
    <row r="2" spans="1:11" ht="32.25">
      <c r="A2" s="303" t="s">
        <v>462</v>
      </c>
      <c r="B2" s="201" t="s">
        <v>180</v>
      </c>
      <c r="C2" s="53" t="s">
        <v>463</v>
      </c>
    </row>
    <row r="3" spans="1:11" ht="16.149999999999999">
      <c r="A3" s="147" t="s">
        <v>464</v>
      </c>
      <c r="B3" s="301">
        <v>28770</v>
      </c>
      <c r="C3" s="148">
        <v>100</v>
      </c>
    </row>
    <row r="4" spans="1:11" ht="16.149999999999999">
      <c r="A4" s="149" t="s">
        <v>465</v>
      </c>
      <c r="B4" s="14">
        <v>9688</v>
      </c>
      <c r="C4" s="244">
        <v>28.52</v>
      </c>
    </row>
    <row r="5" spans="1:11" ht="16.149999999999999">
      <c r="A5" s="150" t="s">
        <v>466</v>
      </c>
      <c r="B5" s="13">
        <v>220</v>
      </c>
      <c r="C5" s="244">
        <v>0.65</v>
      </c>
    </row>
    <row r="6" spans="1:11" ht="32.450000000000003">
      <c r="A6" s="259" t="s">
        <v>467</v>
      </c>
      <c r="B6" s="14">
        <v>2486</v>
      </c>
      <c r="C6" s="244">
        <v>7.32</v>
      </c>
    </row>
    <row r="7" spans="1:11" ht="15.75">
      <c r="A7" s="150" t="s">
        <v>468</v>
      </c>
      <c r="B7" s="14">
        <v>21580</v>
      </c>
      <c r="C7" s="244">
        <v>63.52</v>
      </c>
    </row>
    <row r="8" spans="1:11">
      <c r="A8" s="453" t="s">
        <v>370</v>
      </c>
      <c r="B8" s="453"/>
      <c r="C8" s="453"/>
    </row>
    <row r="9" spans="1:11">
      <c r="A9" s="280" t="s">
        <v>469</v>
      </c>
      <c r="B9" s="151"/>
      <c r="C9" s="224"/>
    </row>
    <row r="10" spans="1:11" ht="37.9">
      <c r="A10" s="331" t="s">
        <v>446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</row>
    <row r="11" spans="1:11" ht="37.5">
      <c r="A11" s="198" t="s">
        <v>470</v>
      </c>
    </row>
    <row r="16" spans="1:11" ht="39" customHeight="1">
      <c r="A16" s="452" t="s">
        <v>471</v>
      </c>
      <c r="B16" s="452"/>
      <c r="C16" s="452"/>
    </row>
    <row r="17" spans="1:11" ht="43.15" customHeight="1">
      <c r="A17" s="303" t="s">
        <v>462</v>
      </c>
      <c r="B17" s="201" t="s">
        <v>180</v>
      </c>
      <c r="C17" s="303" t="s">
        <v>472</v>
      </c>
    </row>
    <row r="18" spans="1:11" ht="16.149999999999999">
      <c r="A18" s="147" t="s">
        <v>464</v>
      </c>
      <c r="B18" s="152">
        <v>26876</v>
      </c>
      <c r="C18" s="148">
        <v>100</v>
      </c>
    </row>
    <row r="19" spans="1:11" ht="16.149999999999999">
      <c r="A19" s="149" t="s">
        <v>465</v>
      </c>
      <c r="B19" s="14">
        <v>12765</v>
      </c>
      <c r="C19" s="244">
        <v>35.75</v>
      </c>
    </row>
    <row r="20" spans="1:11" ht="16.149999999999999">
      <c r="A20" s="150" t="s">
        <v>466</v>
      </c>
      <c r="B20" s="13">
        <v>228</v>
      </c>
      <c r="C20" s="244">
        <v>0.64</v>
      </c>
    </row>
    <row r="21" spans="1:11" ht="32.450000000000003">
      <c r="A21" s="259" t="s">
        <v>467</v>
      </c>
      <c r="B21" s="14">
        <v>3367</v>
      </c>
      <c r="C21" s="244">
        <v>9.43</v>
      </c>
    </row>
    <row r="22" spans="1:11" ht="15.75">
      <c r="A22" s="150" t="s">
        <v>468</v>
      </c>
      <c r="B22" s="14">
        <v>19344</v>
      </c>
      <c r="C22" s="244">
        <v>54.18</v>
      </c>
    </row>
    <row r="23" spans="1:11">
      <c r="A23" s="453" t="s">
        <v>370</v>
      </c>
      <c r="B23" s="453"/>
      <c r="C23" s="453"/>
    </row>
    <row r="24" spans="1:11">
      <c r="A24" s="280" t="s">
        <v>469</v>
      </c>
      <c r="B24" s="281"/>
      <c r="C24" s="282"/>
      <c r="D24" s="283"/>
      <c r="E24" s="283"/>
      <c r="F24" s="283"/>
      <c r="G24" s="283"/>
      <c r="H24" s="283"/>
      <c r="I24" s="283"/>
      <c r="J24" s="283"/>
      <c r="K24" s="283"/>
    </row>
    <row r="25" spans="1:11" ht="37.9">
      <c r="A25" s="331" t="s">
        <v>446</v>
      </c>
      <c r="B25" s="198"/>
      <c r="C25" s="198"/>
      <c r="D25" s="198"/>
      <c r="E25" s="198"/>
      <c r="F25" s="198"/>
      <c r="G25" s="198"/>
      <c r="H25" s="198"/>
      <c r="I25" s="198"/>
      <c r="J25" s="198"/>
      <c r="K25" s="198"/>
    </row>
    <row r="26" spans="1:11" ht="37.5">
      <c r="A26" s="331" t="s">
        <v>470</v>
      </c>
      <c r="B26" s="283"/>
      <c r="C26" s="283"/>
      <c r="D26" s="283"/>
      <c r="E26" s="283"/>
      <c r="F26" s="283"/>
      <c r="G26" s="283"/>
      <c r="H26" s="283"/>
      <c r="I26" s="283"/>
      <c r="J26" s="283"/>
      <c r="K26" s="283"/>
    </row>
  </sheetData>
  <mergeCells count="4">
    <mergeCell ref="A1:C1"/>
    <mergeCell ref="A8:C8"/>
    <mergeCell ref="A16:C16"/>
    <mergeCell ref="A23:C23"/>
  </mergeCells>
  <pageMargins left="0.511811024" right="0.511811024" top="0.78740157499999996" bottom="0.78740157499999996" header="0.31496062000000002" footer="0.3149606200000000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0F398-D3DC-4906-AFD0-B545F1195760}">
  <dimension ref="A1:K16"/>
  <sheetViews>
    <sheetView workbookViewId="0">
      <selection activeCell="A7" sqref="A7"/>
    </sheetView>
  </sheetViews>
  <sheetFormatPr defaultColWidth="8.85546875" defaultRowHeight="14.45"/>
  <cols>
    <col min="1" max="3" width="37.5703125" customWidth="1"/>
  </cols>
  <sheetData>
    <row r="1" spans="1:11" ht="51.75" customHeight="1">
      <c r="A1" s="410" t="s">
        <v>473</v>
      </c>
      <c r="B1" s="451"/>
      <c r="C1" s="451"/>
      <c r="D1" s="102"/>
    </row>
    <row r="2" spans="1:11" ht="32.450000000000003">
      <c r="A2" s="304" t="s">
        <v>474</v>
      </c>
      <c r="B2" s="304" t="s">
        <v>475</v>
      </c>
      <c r="C2" s="304" t="s">
        <v>476</v>
      </c>
      <c r="D2" s="102"/>
    </row>
    <row r="3" spans="1:11" ht="16.149999999999999">
      <c r="A3" s="367">
        <v>28770</v>
      </c>
      <c r="B3" s="367">
        <v>11904</v>
      </c>
      <c r="C3" s="368">
        <f>B3/A3*100</f>
        <v>41.376433785192916</v>
      </c>
      <c r="D3" s="102"/>
    </row>
    <row r="4" spans="1:11">
      <c r="A4" s="453" t="s">
        <v>370</v>
      </c>
      <c r="B4" s="453"/>
      <c r="C4" s="453"/>
      <c r="D4" s="102"/>
    </row>
    <row r="5" spans="1:11" ht="55.5" customHeight="1">
      <c r="A5" s="426" t="s">
        <v>477</v>
      </c>
      <c r="B5" s="427"/>
      <c r="C5" s="427"/>
      <c r="D5" s="198"/>
    </row>
    <row r="6" spans="1:11" ht="14.45" customHeight="1">
      <c r="B6" s="200"/>
      <c r="C6" s="200"/>
      <c r="D6" s="200"/>
      <c r="E6" s="200"/>
      <c r="F6" s="200"/>
      <c r="G6" s="200"/>
      <c r="H6" s="200"/>
      <c r="I6" s="200"/>
      <c r="J6" s="200"/>
      <c r="K6" s="200"/>
    </row>
    <row r="12" spans="1:11" ht="37.5" customHeight="1">
      <c r="A12" s="451" t="s">
        <v>478</v>
      </c>
      <c r="B12" s="451"/>
      <c r="C12" s="451"/>
      <c r="D12" s="102"/>
    </row>
    <row r="13" spans="1:11" ht="32.450000000000003">
      <c r="A13" s="304" t="s">
        <v>474</v>
      </c>
      <c r="B13" s="304" t="s">
        <v>475</v>
      </c>
      <c r="C13" s="304" t="s">
        <v>476</v>
      </c>
      <c r="D13" s="102"/>
    </row>
    <row r="14" spans="1:11" ht="16.149999999999999">
      <c r="A14" s="122">
        <v>26876</v>
      </c>
      <c r="B14" s="122">
        <v>14097</v>
      </c>
      <c r="C14" s="369">
        <f>B14/A14*100</f>
        <v>52.452001785980052</v>
      </c>
      <c r="D14" s="102"/>
    </row>
    <row r="15" spans="1:11">
      <c r="A15" s="453" t="s">
        <v>370</v>
      </c>
      <c r="B15" s="453"/>
      <c r="C15" s="453"/>
      <c r="D15" s="102"/>
    </row>
    <row r="16" spans="1:11" ht="50.25" customHeight="1">
      <c r="A16" s="427" t="s">
        <v>479</v>
      </c>
      <c r="B16" s="427"/>
      <c r="C16" s="427"/>
    </row>
  </sheetData>
  <mergeCells count="6">
    <mergeCell ref="A16:C16"/>
    <mergeCell ref="A1:C1"/>
    <mergeCell ref="A4:C4"/>
    <mergeCell ref="A12:C12"/>
    <mergeCell ref="A15:C15"/>
    <mergeCell ref="A5:C5"/>
  </mergeCells>
  <pageMargins left="0.511811024" right="0.511811024" top="0.78740157499999996" bottom="0.78740157499999996" header="0.31496062000000002" footer="0.3149606200000000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A5A60-9BC4-4A0D-88D4-FBD359E2AABA}">
  <dimension ref="A1:K27"/>
  <sheetViews>
    <sheetView workbookViewId="0">
      <selection activeCell="A21" sqref="A21"/>
    </sheetView>
  </sheetViews>
  <sheetFormatPr defaultRowHeight="14.45"/>
  <cols>
    <col min="1" max="2" width="27.5703125" customWidth="1"/>
    <col min="3" max="3" width="27.7109375" customWidth="1"/>
  </cols>
  <sheetData>
    <row r="1" spans="1:11" ht="59.25" customHeight="1">
      <c r="A1" s="400" t="s">
        <v>480</v>
      </c>
      <c r="B1" s="400"/>
      <c r="C1" s="400"/>
    </row>
    <row r="2" spans="1:11" ht="34.5" customHeight="1">
      <c r="A2" s="428" t="s">
        <v>201</v>
      </c>
      <c r="B2" s="454" t="s">
        <v>481</v>
      </c>
      <c r="C2" s="441"/>
    </row>
    <row r="3" spans="1:11" ht="16.149999999999999">
      <c r="A3" s="429"/>
      <c r="B3" s="115" t="s">
        <v>253</v>
      </c>
      <c r="C3" s="115" t="s">
        <v>199</v>
      </c>
      <c r="F3" s="118"/>
    </row>
    <row r="4" spans="1:11" ht="16.149999999999999">
      <c r="A4" s="104" t="s">
        <v>384</v>
      </c>
      <c r="B4" s="105">
        <v>26.412799240398371</v>
      </c>
      <c r="C4" s="105">
        <v>612.69630885817048</v>
      </c>
      <c r="E4" s="118"/>
    </row>
    <row r="5" spans="1:11" ht="16.149999999999999">
      <c r="A5" s="107" t="s">
        <v>202</v>
      </c>
      <c r="B5" s="113">
        <v>8.3124112250272368</v>
      </c>
      <c r="C5" s="113">
        <v>172.02977754127474</v>
      </c>
    </row>
    <row r="6" spans="1:11" ht="16.149999999999999">
      <c r="A6" s="107" t="s">
        <v>203</v>
      </c>
      <c r="B6" s="113">
        <v>3.5061959872298449</v>
      </c>
      <c r="C6" s="113">
        <v>96.447805521093755</v>
      </c>
    </row>
    <row r="7" spans="1:11" ht="16.149999999999999">
      <c r="A7" s="107" t="s">
        <v>205</v>
      </c>
      <c r="B7" s="113">
        <v>13.082820847872556</v>
      </c>
      <c r="C7" s="113">
        <v>295.74014989405117</v>
      </c>
    </row>
    <row r="8" spans="1:11" ht="16.149999999999999">
      <c r="A8" s="107" t="s">
        <v>385</v>
      </c>
      <c r="B8" s="113">
        <v>0.19647183589085801</v>
      </c>
      <c r="C8" s="113">
        <v>5.5458935181113027</v>
      </c>
    </row>
    <row r="9" spans="1:11" ht="16.149999999999999">
      <c r="A9" s="107" t="s">
        <v>206</v>
      </c>
      <c r="B9" s="113">
        <v>8.3546434888168597E-2</v>
      </c>
      <c r="C9" s="113">
        <v>1.2974824807548619</v>
      </c>
    </row>
    <row r="10" spans="1:11" ht="16.149999999999999">
      <c r="A10" s="116" t="s">
        <v>482</v>
      </c>
      <c r="B10" s="113">
        <v>1.0760046339443252</v>
      </c>
      <c r="C10" s="113">
        <v>31.944115143283643</v>
      </c>
    </row>
    <row r="11" spans="1:11">
      <c r="A11" s="109" t="s">
        <v>483</v>
      </c>
    </row>
    <row r="12" spans="1:11" ht="14.45" customHeight="1">
      <c r="A12" s="199" t="s">
        <v>484</v>
      </c>
      <c r="B12" s="200"/>
      <c r="C12" s="200"/>
      <c r="D12" s="200"/>
      <c r="E12" s="200"/>
      <c r="F12" s="200"/>
      <c r="G12" s="200"/>
      <c r="H12" s="200"/>
      <c r="I12" s="200"/>
      <c r="J12" s="200"/>
      <c r="K12" s="200"/>
    </row>
    <row r="17" spans="1:11" ht="38.25" customHeight="1">
      <c r="A17" s="400" t="s">
        <v>485</v>
      </c>
      <c r="B17" s="400"/>
      <c r="C17" s="400"/>
    </row>
    <row r="18" spans="1:11" ht="30" customHeight="1">
      <c r="A18" s="428" t="s">
        <v>201</v>
      </c>
      <c r="B18" s="454" t="s">
        <v>481</v>
      </c>
      <c r="C18" s="441"/>
    </row>
    <row r="19" spans="1:11" ht="16.149999999999999">
      <c r="A19" s="429"/>
      <c r="B19" s="115" t="s">
        <v>253</v>
      </c>
      <c r="C19" s="115" t="s">
        <v>199</v>
      </c>
      <c r="F19" s="118"/>
    </row>
    <row r="20" spans="1:11" ht="16.149999999999999">
      <c r="A20" s="104" t="s">
        <v>384</v>
      </c>
      <c r="B20" s="105">
        <v>24.783388564037505</v>
      </c>
      <c r="C20" s="105">
        <v>596.72903902956307</v>
      </c>
      <c r="E20" s="118"/>
    </row>
    <row r="21" spans="1:11" ht="16.149999999999999">
      <c r="A21" s="107" t="s">
        <v>202</v>
      </c>
      <c r="B21" s="113">
        <v>7.7985234813984654</v>
      </c>
      <c r="C21" s="113">
        <v>165.30986221582546</v>
      </c>
    </row>
    <row r="22" spans="1:11" ht="16.149999999999999">
      <c r="A22" s="107" t="s">
        <v>203</v>
      </c>
      <c r="B22" s="113">
        <v>3.2616031162003511</v>
      </c>
      <c r="C22" s="113">
        <v>91.661575298533279</v>
      </c>
    </row>
    <row r="23" spans="1:11" ht="16.149999999999999">
      <c r="A23" s="107" t="s">
        <v>205</v>
      </c>
      <c r="B23" s="113">
        <v>11.821812821512159</v>
      </c>
      <c r="C23" s="113">
        <v>281.22869977558594</v>
      </c>
    </row>
    <row r="24" spans="1:11" ht="16.149999999999999">
      <c r="A24" s="107" t="s">
        <v>385</v>
      </c>
      <c r="B24" s="113">
        <v>0.10696804113068724</v>
      </c>
      <c r="C24" s="113">
        <v>5.7800583396551914</v>
      </c>
    </row>
    <row r="25" spans="1:11" ht="16.149999999999999">
      <c r="A25" s="107" t="s">
        <v>206</v>
      </c>
      <c r="B25" s="113">
        <v>7.5615339419968564E-2</v>
      </c>
      <c r="C25" s="113">
        <v>1.1612416134796539</v>
      </c>
    </row>
    <row r="26" spans="1:11">
      <c r="A26" s="109" t="s">
        <v>483</v>
      </c>
    </row>
    <row r="27" spans="1:11" ht="14.45" customHeight="1">
      <c r="A27" s="199" t="s">
        <v>486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0"/>
    </row>
  </sheetData>
  <mergeCells count="6">
    <mergeCell ref="A1:C1"/>
    <mergeCell ref="A2:A3"/>
    <mergeCell ref="B2:C2"/>
    <mergeCell ref="A17:C17"/>
    <mergeCell ref="A18:A19"/>
    <mergeCell ref="B18:C18"/>
  </mergeCells>
  <pageMargins left="0.511811024" right="0.511811024" top="0.78740157499999996" bottom="0.78740157499999996" header="0.31496062000000002" footer="0.3149606200000000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46790-2496-4BEB-95E1-2C99BB19A6D4}">
  <dimension ref="A1:K26"/>
  <sheetViews>
    <sheetView topLeftCell="A6" workbookViewId="0">
      <selection activeCell="D15" sqref="D15"/>
    </sheetView>
  </sheetViews>
  <sheetFormatPr defaultRowHeight="14.45"/>
  <cols>
    <col min="1" max="1" width="27.85546875" customWidth="1"/>
    <col min="2" max="2" width="53" customWidth="1"/>
  </cols>
  <sheetData>
    <row r="1" spans="1:11" ht="55.9" customHeight="1">
      <c r="A1" s="451" t="s">
        <v>487</v>
      </c>
      <c r="B1" s="451"/>
    </row>
    <row r="2" spans="1:11" ht="32.450000000000003">
      <c r="A2" s="297" t="s">
        <v>435</v>
      </c>
      <c r="B2" s="297" t="s">
        <v>488</v>
      </c>
    </row>
    <row r="3" spans="1:11" ht="16.149999999999999">
      <c r="A3" s="136" t="s">
        <v>180</v>
      </c>
      <c r="B3" s="298">
        <v>26.412799240398371</v>
      </c>
    </row>
    <row r="4" spans="1:11" ht="16.149999999999999">
      <c r="A4" s="138" t="s">
        <v>436</v>
      </c>
      <c r="B4" s="140">
        <v>4.078167733771922</v>
      </c>
    </row>
    <row r="5" spans="1:11" ht="16.149999999999999">
      <c r="A5" s="138" t="s">
        <v>294</v>
      </c>
      <c r="B5" s="140">
        <v>5.378186984339469</v>
      </c>
    </row>
    <row r="6" spans="1:11" ht="16.149999999999999">
      <c r="A6" s="138" t="s">
        <v>437</v>
      </c>
      <c r="B6" s="140">
        <v>4.9108778045803714</v>
      </c>
    </row>
    <row r="7" spans="1:11" ht="16.149999999999999">
      <c r="A7" s="138" t="s">
        <v>438</v>
      </c>
      <c r="B7" s="140">
        <v>7.7771631861283099</v>
      </c>
    </row>
    <row r="8" spans="1:11" ht="16.149999999999999">
      <c r="A8" s="138" t="s">
        <v>439</v>
      </c>
      <c r="B8" s="140">
        <v>3.3409393028356651</v>
      </c>
    </row>
    <row r="9" spans="1:11" ht="16.149999999999999">
      <c r="A9" s="138" t="s">
        <v>440</v>
      </c>
      <c r="B9" s="140">
        <v>0.4103874329122128</v>
      </c>
    </row>
    <row r="10" spans="1:11" ht="16.149999999999999">
      <c r="A10" s="138" t="s">
        <v>441</v>
      </c>
      <c r="B10" s="140">
        <v>4.1314171098544912E-2</v>
      </c>
    </row>
    <row r="11" spans="1:11" ht="15">
      <c r="A11" s="109" t="s">
        <v>483</v>
      </c>
      <c r="B11" s="109"/>
      <c r="C11" s="109"/>
    </row>
    <row r="12" spans="1:11" ht="40.5" customHeight="1">
      <c r="A12" s="426" t="s">
        <v>489</v>
      </c>
      <c r="B12" s="426"/>
      <c r="C12" s="426"/>
      <c r="D12" s="426"/>
      <c r="E12" s="426"/>
      <c r="F12" s="426"/>
      <c r="G12" s="426"/>
      <c r="H12" s="426"/>
      <c r="I12" s="200"/>
      <c r="J12" s="200"/>
      <c r="K12" s="200"/>
    </row>
    <row r="13" spans="1:11" ht="15"/>
    <row r="15" spans="1:11" ht="58.5" customHeight="1">
      <c r="A15" s="451" t="s">
        <v>490</v>
      </c>
      <c r="B15" s="451"/>
    </row>
    <row r="16" spans="1:11" ht="32.450000000000003">
      <c r="A16" s="297" t="s">
        <v>435</v>
      </c>
      <c r="B16" s="297" t="s">
        <v>488</v>
      </c>
    </row>
    <row r="17" spans="1:11" ht="16.149999999999999">
      <c r="A17" s="136" t="s">
        <v>180</v>
      </c>
      <c r="B17" s="137">
        <v>24.783388564037505</v>
      </c>
    </row>
    <row r="18" spans="1:11" ht="16.149999999999999">
      <c r="A18" s="138" t="s">
        <v>436</v>
      </c>
      <c r="B18" s="140">
        <v>3.8794357675586308</v>
      </c>
    </row>
    <row r="19" spans="1:11" ht="16.149999999999999">
      <c r="A19" s="138" t="s">
        <v>294</v>
      </c>
      <c r="B19" s="140">
        <v>4.8393817228779881</v>
      </c>
    </row>
    <row r="20" spans="1:11" ht="16.149999999999999">
      <c r="A20" s="138" t="s">
        <v>437</v>
      </c>
      <c r="B20" s="140">
        <v>4.477903514919114</v>
      </c>
    </row>
    <row r="21" spans="1:11" ht="16.149999999999999">
      <c r="A21" s="138" t="s">
        <v>438</v>
      </c>
      <c r="B21" s="140">
        <v>7.2240313294638261</v>
      </c>
    </row>
    <row r="22" spans="1:11" ht="16.149999999999999">
      <c r="A22" s="138" t="s">
        <v>439</v>
      </c>
      <c r="B22" s="140">
        <v>3.0264578533699611</v>
      </c>
    </row>
    <row r="23" spans="1:11" ht="16.149999999999999">
      <c r="A23" s="138" t="s">
        <v>440</v>
      </c>
      <c r="B23" s="140">
        <v>0.33750261253303043</v>
      </c>
    </row>
    <row r="24" spans="1:11" ht="16.149999999999999">
      <c r="A24" s="138" t="s">
        <v>441</v>
      </c>
      <c r="B24" s="140">
        <v>4.1496222852421771E-2</v>
      </c>
    </row>
    <row r="25" spans="1:11">
      <c r="A25" s="109" t="s">
        <v>483</v>
      </c>
      <c r="B25" s="109"/>
      <c r="C25" s="109"/>
    </row>
    <row r="26" spans="1:11">
      <c r="A26" s="199" t="s">
        <v>477</v>
      </c>
      <c r="B26" s="200"/>
      <c r="C26" s="200"/>
      <c r="D26" s="200"/>
      <c r="E26" s="200"/>
      <c r="F26" s="200"/>
      <c r="G26" s="200"/>
      <c r="H26" s="200"/>
      <c r="I26" s="200"/>
      <c r="J26" s="200"/>
      <c r="K26" s="200"/>
    </row>
  </sheetData>
  <mergeCells count="3">
    <mergeCell ref="A1:B1"/>
    <mergeCell ref="A15:B15"/>
    <mergeCell ref="A12:H1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CD624-F0C3-40AE-85A8-CC787CCCDD55}">
  <dimension ref="A1:L17"/>
  <sheetViews>
    <sheetView workbookViewId="0">
      <selection activeCell="A16" sqref="A16"/>
    </sheetView>
  </sheetViews>
  <sheetFormatPr defaultRowHeight="14.45"/>
  <cols>
    <col min="1" max="1" width="14.5703125" customWidth="1"/>
    <col min="2" max="3" width="15.28515625" customWidth="1"/>
    <col min="4" max="4" width="17.85546875" customWidth="1"/>
  </cols>
  <sheetData>
    <row r="1" spans="1:11" ht="52.5" customHeight="1">
      <c r="A1" s="401" t="s">
        <v>178</v>
      </c>
      <c r="B1" s="401"/>
      <c r="C1" s="401"/>
      <c r="D1" s="401"/>
      <c r="E1" s="401"/>
      <c r="F1" s="401"/>
      <c r="G1" s="401"/>
      <c r="H1" s="12"/>
      <c r="I1" s="12"/>
    </row>
    <row r="2" spans="1:11" ht="16.149999999999999">
      <c r="A2" s="12"/>
      <c r="B2" s="12"/>
      <c r="C2" s="13" t="s">
        <v>179</v>
      </c>
      <c r="D2" s="13" t="s">
        <v>180</v>
      </c>
      <c r="E2" s="12"/>
      <c r="F2" s="12"/>
      <c r="G2" s="12"/>
      <c r="H2" s="12"/>
      <c r="I2" s="12"/>
    </row>
    <row r="3" spans="1:11" ht="16.149999999999999">
      <c r="A3" s="12"/>
      <c r="B3" s="12"/>
      <c r="C3" s="13">
        <v>2013</v>
      </c>
      <c r="D3" s="14">
        <v>113476</v>
      </c>
      <c r="E3" s="12"/>
      <c r="F3" s="12"/>
      <c r="G3" s="12"/>
      <c r="H3" s="12"/>
      <c r="I3" s="12"/>
    </row>
    <row r="4" spans="1:11" ht="16.149999999999999">
      <c r="A4" s="12"/>
      <c r="B4" s="12"/>
      <c r="C4" s="13">
        <v>2014</v>
      </c>
      <c r="D4" s="14">
        <v>122222</v>
      </c>
      <c r="E4" s="12"/>
      <c r="F4" s="12"/>
      <c r="G4" s="12"/>
      <c r="H4" s="12"/>
      <c r="I4" s="12"/>
    </row>
    <row r="5" spans="1:11" ht="16.149999999999999">
      <c r="A5" s="12"/>
      <c r="B5" s="12"/>
      <c r="C5" s="13">
        <v>2015</v>
      </c>
      <c r="D5" s="14">
        <v>131176</v>
      </c>
      <c r="E5" s="12"/>
      <c r="F5" s="12"/>
      <c r="G5" s="12"/>
      <c r="H5" s="12"/>
      <c r="I5" s="12"/>
    </row>
    <row r="6" spans="1:11" ht="16.149999999999999">
      <c r="A6" s="12"/>
      <c r="B6" s="12"/>
      <c r="C6" s="13">
        <v>2016</v>
      </c>
      <c r="D6" s="14">
        <v>144086</v>
      </c>
      <c r="E6" s="12"/>
      <c r="F6" s="12"/>
      <c r="G6" s="12"/>
      <c r="H6" s="12"/>
      <c r="I6" s="12"/>
    </row>
    <row r="7" spans="1:11" ht="16.149999999999999">
      <c r="A7" s="12"/>
      <c r="B7" s="12"/>
      <c r="C7" s="13">
        <v>2017</v>
      </c>
      <c r="D7" s="14">
        <v>171316</v>
      </c>
      <c r="E7" s="12"/>
      <c r="F7" s="12"/>
      <c r="G7" s="12"/>
      <c r="H7" s="12"/>
      <c r="I7" s="12"/>
    </row>
    <row r="8" spans="1:11" ht="16.149999999999999">
      <c r="A8" s="12"/>
      <c r="B8" s="12"/>
      <c r="C8" s="13">
        <v>2018</v>
      </c>
      <c r="D8" s="14">
        <v>190642</v>
      </c>
      <c r="E8" s="12"/>
      <c r="F8" s="12"/>
      <c r="G8" s="12"/>
      <c r="H8" s="12"/>
      <c r="I8" s="12"/>
    </row>
    <row r="9" spans="1:11" ht="16.149999999999999">
      <c r="A9" s="12"/>
      <c r="B9" s="12"/>
      <c r="C9" s="13">
        <v>2019</v>
      </c>
      <c r="D9" s="14">
        <v>198415</v>
      </c>
      <c r="E9" s="12"/>
      <c r="F9" s="12"/>
      <c r="G9" s="12"/>
      <c r="H9" s="12"/>
      <c r="I9" s="12"/>
    </row>
    <row r="10" spans="1:11" ht="16.149999999999999">
      <c r="A10" s="12"/>
      <c r="B10" s="12"/>
      <c r="C10" s="13">
        <v>2020</v>
      </c>
      <c r="D10" s="14">
        <v>165193</v>
      </c>
      <c r="E10" s="12"/>
      <c r="F10" s="12"/>
      <c r="G10" s="12"/>
      <c r="H10" s="12"/>
      <c r="I10" s="12"/>
    </row>
    <row r="11" spans="1:11" ht="16.149999999999999">
      <c r="A11" s="12"/>
      <c r="B11" s="12"/>
      <c r="C11" s="13">
        <v>2021</v>
      </c>
      <c r="D11" s="14">
        <v>187204</v>
      </c>
      <c r="E11" s="12"/>
      <c r="F11" s="12"/>
      <c r="G11" s="12"/>
      <c r="H11" s="12"/>
      <c r="I11" s="12"/>
    </row>
    <row r="12" spans="1:11" ht="16.149999999999999">
      <c r="A12" s="12"/>
      <c r="B12" s="12"/>
      <c r="C12" s="13">
        <v>2022</v>
      </c>
      <c r="D12" s="14">
        <v>216024</v>
      </c>
      <c r="E12" s="12"/>
      <c r="F12" s="12"/>
      <c r="G12" s="12"/>
      <c r="H12" s="12"/>
      <c r="I12" s="12"/>
    </row>
    <row r="13" spans="1:11" ht="16.149999999999999">
      <c r="A13" s="12"/>
      <c r="B13" s="12"/>
      <c r="C13" s="13">
        <v>2023</v>
      </c>
      <c r="D13" s="14">
        <v>302856</v>
      </c>
      <c r="E13" s="12"/>
      <c r="F13" s="12"/>
      <c r="G13" s="12"/>
      <c r="H13" s="12"/>
      <c r="I13" s="12"/>
    </row>
    <row r="14" spans="1:11" ht="16.149999999999999">
      <c r="A14" s="12"/>
      <c r="B14" s="12"/>
      <c r="C14" s="12"/>
      <c r="D14" s="12"/>
      <c r="E14" s="12"/>
      <c r="F14" s="12"/>
      <c r="G14" s="12"/>
      <c r="H14" s="12"/>
      <c r="I14" s="12"/>
    </row>
    <row r="15" spans="1:11">
      <c r="A15" s="398" t="s">
        <v>169</v>
      </c>
      <c r="B15" s="398"/>
      <c r="C15" s="398"/>
      <c r="D15" s="398"/>
      <c r="E15" s="398"/>
      <c r="F15" s="398"/>
      <c r="G15" s="398"/>
      <c r="H15" s="398"/>
      <c r="I15" s="398"/>
      <c r="J15" s="398"/>
      <c r="K15" s="398"/>
    </row>
    <row r="16" spans="1:11">
      <c r="A16" s="398" t="s">
        <v>181</v>
      </c>
      <c r="B16" s="398"/>
      <c r="C16" s="398"/>
      <c r="D16" s="398"/>
      <c r="E16" s="398"/>
      <c r="F16" s="398"/>
      <c r="G16" s="398"/>
      <c r="H16" s="398"/>
      <c r="I16" s="398"/>
      <c r="J16" s="398"/>
      <c r="K16" s="398"/>
    </row>
    <row r="17" spans="1:12" ht="54.6" customHeight="1">
      <c r="A17" s="396" t="s">
        <v>182</v>
      </c>
      <c r="B17" s="399"/>
      <c r="C17" s="399"/>
      <c r="D17" s="399"/>
      <c r="E17" s="399"/>
      <c r="F17" s="399"/>
      <c r="G17" s="399"/>
      <c r="H17" s="399"/>
      <c r="I17" s="399"/>
      <c r="J17" s="399"/>
      <c r="K17" s="399"/>
      <c r="L17" s="399"/>
    </row>
  </sheetData>
  <mergeCells count="4">
    <mergeCell ref="A1:G1"/>
    <mergeCell ref="A15:K15"/>
    <mergeCell ref="A16:K16"/>
    <mergeCell ref="A17:L17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9669D-E790-408A-8E7F-5654A8634A6C}">
  <dimension ref="A1:K29"/>
  <sheetViews>
    <sheetView topLeftCell="A7" workbookViewId="0">
      <selection activeCell="A14" sqref="A14:H14"/>
    </sheetView>
  </sheetViews>
  <sheetFormatPr defaultRowHeight="14.45"/>
  <cols>
    <col min="1" max="1" width="46.5703125" customWidth="1"/>
    <col min="2" max="2" width="42" customWidth="1"/>
  </cols>
  <sheetData>
    <row r="1" spans="1:11" ht="48" customHeight="1">
      <c r="A1" s="452" t="s">
        <v>491</v>
      </c>
      <c r="B1" s="452"/>
    </row>
    <row r="2" spans="1:11" ht="32.450000000000003">
      <c r="A2" s="142" t="s">
        <v>448</v>
      </c>
      <c r="B2" s="142" t="s">
        <v>488</v>
      </c>
    </row>
    <row r="3" spans="1:11" ht="16.149999999999999">
      <c r="A3" s="300" t="s">
        <v>180</v>
      </c>
      <c r="B3" s="305">
        <v>26.412799240398371</v>
      </c>
    </row>
    <row r="4" spans="1:11" ht="15" customHeight="1">
      <c r="A4" s="145" t="s">
        <v>449</v>
      </c>
      <c r="B4" s="245">
        <v>0.3497933153010136</v>
      </c>
    </row>
    <row r="5" spans="1:11" ht="16.149999999999999">
      <c r="A5" s="145" t="s">
        <v>450</v>
      </c>
      <c r="B5" s="245">
        <v>0.6160401957138586</v>
      </c>
    </row>
    <row r="6" spans="1:11" ht="16.149999999999999">
      <c r="A6" s="145" t="s">
        <v>451</v>
      </c>
      <c r="B6" s="245">
        <v>10.155023256022339</v>
      </c>
    </row>
    <row r="7" spans="1:11" ht="16.149999999999999">
      <c r="A7" s="145" t="s">
        <v>452</v>
      </c>
      <c r="B7" s="245">
        <v>2.6863392140964981</v>
      </c>
    </row>
    <row r="8" spans="1:11" ht="16.149999999999999">
      <c r="A8" s="145" t="s">
        <v>453</v>
      </c>
      <c r="B8" s="245">
        <v>4.7199145248359864</v>
      </c>
    </row>
    <row r="9" spans="1:11" ht="16.149999999999999">
      <c r="A9" s="145" t="s">
        <v>454</v>
      </c>
      <c r="B9" s="245">
        <v>5.0605269132262123</v>
      </c>
    </row>
    <row r="10" spans="1:11" ht="16.149999999999999">
      <c r="A10" s="145" t="s">
        <v>455</v>
      </c>
      <c r="B10" s="245">
        <v>0.71060374289497252</v>
      </c>
    </row>
    <row r="11" spans="1:11" ht="16.149999999999999">
      <c r="A11" s="145" t="s">
        <v>456</v>
      </c>
      <c r="B11" s="245">
        <v>0.45629206746615159</v>
      </c>
    </row>
    <row r="12" spans="1:11" ht="16.149999999999999">
      <c r="A12" s="145" t="s">
        <v>457</v>
      </c>
      <c r="B12" s="245">
        <v>3.8559893025308586E-2</v>
      </c>
    </row>
    <row r="13" spans="1:11" ht="15">
      <c r="A13" s="109" t="s">
        <v>483</v>
      </c>
      <c r="B13" s="109"/>
      <c r="C13" s="109"/>
    </row>
    <row r="14" spans="1:11" ht="34.5" customHeight="1">
      <c r="A14" s="426" t="s">
        <v>489</v>
      </c>
      <c r="B14" s="426"/>
      <c r="C14" s="426"/>
      <c r="D14" s="426"/>
      <c r="E14" s="426"/>
      <c r="F14" s="426"/>
      <c r="G14" s="426"/>
      <c r="H14" s="426"/>
      <c r="I14" s="200"/>
      <c r="J14" s="200"/>
      <c r="K14" s="200"/>
    </row>
    <row r="15" spans="1:11" ht="15"/>
    <row r="16" spans="1:11" ht="65.25" customHeight="1">
      <c r="A16" s="452" t="s">
        <v>492</v>
      </c>
      <c r="B16" s="452"/>
    </row>
    <row r="17" spans="1:11" ht="32.450000000000003">
      <c r="A17" s="142" t="s">
        <v>448</v>
      </c>
      <c r="B17" s="142" t="s">
        <v>488</v>
      </c>
    </row>
    <row r="18" spans="1:11" ht="16.149999999999999">
      <c r="A18" s="143" t="s">
        <v>180</v>
      </c>
      <c r="B18" s="144">
        <v>24.783388564037505</v>
      </c>
    </row>
    <row r="19" spans="1:11" ht="16.149999999999999">
      <c r="A19" s="145" t="s">
        <v>449</v>
      </c>
      <c r="B19" s="245">
        <v>0.37623242052862405</v>
      </c>
    </row>
    <row r="20" spans="1:11" ht="16.149999999999999">
      <c r="A20" s="145" t="s">
        <v>450</v>
      </c>
      <c r="B20" s="245">
        <v>0.56711504564976423</v>
      </c>
    </row>
    <row r="21" spans="1:11" ht="16.149999999999999">
      <c r="A21" s="145" t="s">
        <v>451</v>
      </c>
      <c r="B21" s="245">
        <v>9.5173892457743356</v>
      </c>
    </row>
    <row r="22" spans="1:11" ht="16.149999999999999">
      <c r="A22" s="145" t="s">
        <v>452</v>
      </c>
      <c r="B22" s="245">
        <v>2.2656937677422286</v>
      </c>
    </row>
    <row r="23" spans="1:11" ht="16.149999999999999">
      <c r="A23" s="145" t="s">
        <v>453</v>
      </c>
      <c r="B23" s="245">
        <v>4.5212440143427548</v>
      </c>
    </row>
    <row r="24" spans="1:11" ht="16.149999999999999">
      <c r="A24" s="145" t="s">
        <v>454</v>
      </c>
      <c r="B24" s="245">
        <v>4.5811830029073635</v>
      </c>
    </row>
    <row r="25" spans="1:11" ht="16.149999999999999">
      <c r="A25" s="145" t="s">
        <v>455</v>
      </c>
      <c r="B25" s="245">
        <v>0.62705403421437345</v>
      </c>
    </row>
    <row r="26" spans="1:11" ht="16.149999999999999">
      <c r="A26" s="145" t="s">
        <v>456</v>
      </c>
      <c r="B26" s="245">
        <v>0.45830272794785826</v>
      </c>
    </row>
    <row r="27" spans="1:11" ht="16.149999999999999">
      <c r="A27" s="145" t="s">
        <v>457</v>
      </c>
      <c r="B27" s="245">
        <v>2.8586286853890554E-2</v>
      </c>
    </row>
    <row r="28" spans="1:11">
      <c r="A28" s="109" t="s">
        <v>483</v>
      </c>
      <c r="B28" s="109"/>
      <c r="C28" s="109"/>
    </row>
    <row r="29" spans="1:11">
      <c r="A29" s="199" t="s">
        <v>489</v>
      </c>
      <c r="B29" s="200"/>
      <c r="C29" s="200"/>
      <c r="D29" s="200"/>
      <c r="E29" s="200"/>
      <c r="F29" s="200"/>
      <c r="G29" s="200"/>
      <c r="H29" s="200"/>
      <c r="I29" s="200"/>
      <c r="J29" s="200"/>
      <c r="K29" s="200"/>
    </row>
  </sheetData>
  <mergeCells count="3">
    <mergeCell ref="A1:B1"/>
    <mergeCell ref="A16:B16"/>
    <mergeCell ref="A14:H14"/>
  </mergeCells>
  <pageMargins left="0.511811024" right="0.511811024" top="0.78740157499999996" bottom="0.78740157499999996" header="0.31496062000000002" footer="0.3149606200000000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7914C-491E-4BB0-A024-043D22AA6A4D}">
  <dimension ref="A1:O28"/>
  <sheetViews>
    <sheetView topLeftCell="A5" workbookViewId="0">
      <selection activeCell="F32" sqref="F32"/>
    </sheetView>
  </sheetViews>
  <sheetFormatPr defaultRowHeight="14.45"/>
  <cols>
    <col min="1" max="1" width="17.85546875" customWidth="1"/>
    <col min="2" max="2" width="20.28515625" customWidth="1"/>
    <col min="3" max="3" width="20.140625" customWidth="1"/>
    <col min="4" max="4" width="19.28515625" customWidth="1"/>
    <col min="5" max="5" width="23.5703125" customWidth="1"/>
    <col min="6" max="6" width="23.7109375" customWidth="1"/>
    <col min="7" max="7" width="18.7109375" customWidth="1"/>
    <col min="8" max="8" width="23" customWidth="1"/>
    <col min="9" max="9" width="16.5703125" customWidth="1"/>
    <col min="10" max="10" width="27.85546875" customWidth="1"/>
    <col min="11" max="11" width="6.42578125" customWidth="1"/>
  </cols>
  <sheetData>
    <row r="1" spans="1:15" ht="57" customHeight="1">
      <c r="A1" s="458" t="s">
        <v>493</v>
      </c>
      <c r="B1" s="459"/>
      <c r="C1" s="459"/>
      <c r="D1" s="459"/>
      <c r="E1" s="459"/>
      <c r="F1" s="459"/>
      <c r="G1" s="459"/>
      <c r="H1" s="459"/>
      <c r="I1" s="459"/>
      <c r="J1" s="460"/>
    </row>
    <row r="2" spans="1:15" ht="51" customHeight="1">
      <c r="A2" s="442" t="s">
        <v>162</v>
      </c>
      <c r="B2" s="442" t="s">
        <v>494</v>
      </c>
      <c r="C2" s="442"/>
      <c r="D2" s="442" t="s">
        <v>495</v>
      </c>
      <c r="E2" s="442"/>
      <c r="F2" s="442" t="s">
        <v>496</v>
      </c>
      <c r="G2" s="442" t="s">
        <v>497</v>
      </c>
      <c r="H2" s="442"/>
      <c r="I2" s="442" t="s">
        <v>498</v>
      </c>
      <c r="J2" s="442"/>
      <c r="M2" s="390"/>
      <c r="N2" s="390"/>
      <c r="O2" s="390"/>
    </row>
    <row r="3" spans="1:15" ht="90" customHeight="1">
      <c r="A3" s="442"/>
      <c r="B3" s="103" t="s">
        <v>180</v>
      </c>
      <c r="C3" s="103" t="s">
        <v>499</v>
      </c>
      <c r="D3" s="103" t="s">
        <v>180</v>
      </c>
      <c r="E3" s="103" t="s">
        <v>500</v>
      </c>
      <c r="F3" s="442"/>
      <c r="G3" s="103" t="s">
        <v>180</v>
      </c>
      <c r="H3" s="103" t="s">
        <v>501</v>
      </c>
      <c r="I3" s="103" t="s">
        <v>180</v>
      </c>
      <c r="J3" s="103" t="s">
        <v>502</v>
      </c>
      <c r="M3" s="390"/>
      <c r="N3" s="393"/>
      <c r="O3" s="390"/>
    </row>
    <row r="4" spans="1:15" ht="16.149999999999999">
      <c r="A4" s="104" t="s">
        <v>163</v>
      </c>
      <c r="B4" s="311">
        <v>329</v>
      </c>
      <c r="C4" s="105">
        <f>0.0114355231143552*100</f>
        <v>1.1435523114355199</v>
      </c>
      <c r="D4" s="196">
        <v>63</v>
      </c>
      <c r="E4" s="105">
        <v>50.4</v>
      </c>
      <c r="F4" s="312">
        <v>119</v>
      </c>
      <c r="G4" s="308">
        <v>52</v>
      </c>
      <c r="H4" s="309">
        <v>41.6</v>
      </c>
      <c r="I4" s="308">
        <v>433</v>
      </c>
      <c r="J4" s="309">
        <f>0.274826789838337*100</f>
        <v>27.482678983833704</v>
      </c>
      <c r="M4" s="390"/>
      <c r="N4" s="390"/>
      <c r="O4" s="390"/>
    </row>
    <row r="5" spans="1:15" ht="16.149999999999999">
      <c r="A5" s="107" t="s">
        <v>164</v>
      </c>
      <c r="B5" s="115">
        <v>18</v>
      </c>
      <c r="C5" s="98">
        <f>0.000625651720542232*100</f>
        <v>6.2565172054223198E-2</v>
      </c>
      <c r="D5" s="115">
        <v>10</v>
      </c>
      <c r="E5" s="113">
        <v>62.5</v>
      </c>
      <c r="F5" s="313">
        <v>5</v>
      </c>
      <c r="G5" s="248">
        <v>9</v>
      </c>
      <c r="H5" s="112">
        <v>56.25</v>
      </c>
      <c r="I5" s="310">
        <v>61</v>
      </c>
      <c r="J5" s="112">
        <f>0.0819672131147541*100</f>
        <v>8.1967213114754109</v>
      </c>
      <c r="M5" s="390"/>
      <c r="N5" s="390"/>
      <c r="O5" s="390"/>
    </row>
    <row r="6" spans="1:15" ht="16.149999999999999">
      <c r="A6" s="107" t="s">
        <v>165</v>
      </c>
      <c r="B6" s="115">
        <v>49</v>
      </c>
      <c r="C6" s="98">
        <f>0.00170316301703163*100</f>
        <v>0.170316301703163</v>
      </c>
      <c r="D6" s="115">
        <v>12</v>
      </c>
      <c r="E6" s="113">
        <v>52.173913043478258</v>
      </c>
      <c r="F6" s="313">
        <v>26</v>
      </c>
      <c r="G6" s="310">
        <v>10</v>
      </c>
      <c r="H6" s="112">
        <v>43.478260869565219</v>
      </c>
      <c r="I6" s="310">
        <v>65</v>
      </c>
      <c r="J6" s="112">
        <f>0.4*100</f>
        <v>40</v>
      </c>
      <c r="M6" s="390"/>
      <c r="N6" s="390"/>
      <c r="O6" s="390"/>
    </row>
    <row r="7" spans="1:15" ht="16.149999999999999">
      <c r="A7" s="107" t="s">
        <v>166</v>
      </c>
      <c r="B7" s="115">
        <v>163</v>
      </c>
      <c r="C7" s="98">
        <f>0.0056656239137991*100</f>
        <v>0.56656239137990994</v>
      </c>
      <c r="D7" s="115">
        <v>17</v>
      </c>
      <c r="E7" s="113">
        <v>44.736842105263158</v>
      </c>
      <c r="F7" s="313">
        <v>65</v>
      </c>
      <c r="G7" s="310">
        <v>14</v>
      </c>
      <c r="H7" s="112">
        <v>36.84210526315789</v>
      </c>
      <c r="I7" s="310">
        <v>183</v>
      </c>
      <c r="J7" s="112">
        <f>0.355191256830601*100</f>
        <v>35.519125683060096</v>
      </c>
      <c r="M7" s="390"/>
      <c r="N7" s="390"/>
      <c r="O7" s="390"/>
    </row>
    <row r="8" spans="1:15" ht="16.149999999999999">
      <c r="A8" s="107" t="s">
        <v>185</v>
      </c>
      <c r="B8" s="115">
        <v>55</v>
      </c>
      <c r="C8" s="98">
        <f>0.00191171359054571*100</f>
        <v>0.191171359054571</v>
      </c>
      <c r="D8" s="115">
        <v>10</v>
      </c>
      <c r="E8" s="113">
        <v>40</v>
      </c>
      <c r="F8" s="313">
        <v>11</v>
      </c>
      <c r="G8" s="310">
        <v>6</v>
      </c>
      <c r="H8" s="112">
        <v>24</v>
      </c>
      <c r="I8" s="310">
        <v>47</v>
      </c>
      <c r="J8" s="112">
        <f>0.234042553191489*100</f>
        <v>23.404255319148902</v>
      </c>
      <c r="M8" s="390"/>
      <c r="N8" s="390"/>
      <c r="O8" s="390"/>
    </row>
    <row r="9" spans="1:15" ht="16.149999999999999">
      <c r="A9" s="107" t="s">
        <v>168</v>
      </c>
      <c r="B9" s="115">
        <v>44</v>
      </c>
      <c r="C9" s="98">
        <f>0.00152937087243657*100</f>
        <v>0.15293708724365701</v>
      </c>
      <c r="D9" s="115">
        <v>14</v>
      </c>
      <c r="E9" s="113">
        <v>60.869565217391312</v>
      </c>
      <c r="F9" s="313">
        <v>12</v>
      </c>
      <c r="G9" s="310">
        <v>13</v>
      </c>
      <c r="H9" s="112">
        <v>56.521739130434781</v>
      </c>
      <c r="I9" s="310">
        <v>77</v>
      </c>
      <c r="J9" s="112">
        <f>0.155844155844156*100</f>
        <v>15.5844155844156</v>
      </c>
      <c r="M9" s="390"/>
      <c r="N9" s="390"/>
      <c r="O9" s="390"/>
    </row>
    <row r="10" spans="1:15">
      <c r="A10" s="109" t="s">
        <v>370</v>
      </c>
      <c r="B10" s="109"/>
      <c r="C10" s="109"/>
      <c r="D10" s="109"/>
      <c r="E10" s="109"/>
      <c r="F10" s="110"/>
      <c r="G10" s="111"/>
      <c r="H10" s="162"/>
      <c r="I10" s="110"/>
      <c r="J10" s="162"/>
      <c r="K10" s="110"/>
      <c r="M10" s="390"/>
      <c r="N10" s="390"/>
      <c r="O10" s="390"/>
    </row>
    <row r="11" spans="1:15">
      <c r="A11" s="199" t="s">
        <v>503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</row>
    <row r="12" spans="1:15">
      <c r="A12" s="200" t="s">
        <v>504</v>
      </c>
      <c r="B12" s="200"/>
      <c r="C12" s="200"/>
      <c r="D12" s="200"/>
      <c r="E12" s="200"/>
      <c r="F12" s="200"/>
      <c r="G12" s="200"/>
      <c r="H12" s="200"/>
      <c r="I12" s="200"/>
      <c r="J12" s="200"/>
      <c r="K12" s="200"/>
    </row>
    <row r="17" spans="1:11" ht="64.150000000000006" customHeight="1">
      <c r="A17" s="461" t="s">
        <v>505</v>
      </c>
      <c r="B17" s="462"/>
      <c r="C17" s="462"/>
      <c r="D17" s="462"/>
      <c r="E17" s="462"/>
      <c r="F17" s="462"/>
      <c r="G17" s="462"/>
      <c r="H17" s="462"/>
      <c r="I17" s="462"/>
      <c r="J17" s="463"/>
    </row>
    <row r="18" spans="1:11" ht="58.5" customHeight="1">
      <c r="A18" s="442" t="s">
        <v>162</v>
      </c>
      <c r="B18" s="457" t="s">
        <v>494</v>
      </c>
      <c r="C18" s="457"/>
      <c r="D18" s="457" t="s">
        <v>495</v>
      </c>
      <c r="E18" s="457"/>
      <c r="F18" s="464" t="s">
        <v>496</v>
      </c>
      <c r="G18" s="455" t="s">
        <v>497</v>
      </c>
      <c r="H18" s="456"/>
      <c r="I18" s="457" t="s">
        <v>498</v>
      </c>
      <c r="J18" s="457"/>
    </row>
    <row r="19" spans="1:11" ht="81">
      <c r="A19" s="442"/>
      <c r="B19" s="153" t="s">
        <v>180</v>
      </c>
      <c r="C19" s="153" t="s">
        <v>506</v>
      </c>
      <c r="D19" s="153" t="s">
        <v>180</v>
      </c>
      <c r="E19" s="153" t="s">
        <v>500</v>
      </c>
      <c r="F19" s="465"/>
      <c r="G19" s="164" t="s">
        <v>180</v>
      </c>
      <c r="H19" s="249" t="s">
        <v>501</v>
      </c>
      <c r="I19" s="153" t="s">
        <v>180</v>
      </c>
      <c r="J19" s="153" t="s">
        <v>502</v>
      </c>
    </row>
    <row r="20" spans="1:11" ht="16.149999999999999">
      <c r="A20" s="154" t="s">
        <v>163</v>
      </c>
      <c r="B20" s="155">
        <v>333</v>
      </c>
      <c r="C20" s="123">
        <f>0.0123902366423575*100</f>
        <v>1.2390236642357499</v>
      </c>
      <c r="D20" s="122">
        <v>61</v>
      </c>
      <c r="E20" s="123">
        <f>0.488*100</f>
        <v>48.8</v>
      </c>
      <c r="F20" s="156">
        <v>99</v>
      </c>
      <c r="G20" s="157">
        <v>51</v>
      </c>
      <c r="H20" s="306">
        <f>0.408*100</f>
        <v>40.799999999999997</v>
      </c>
      <c r="I20" s="225">
        <v>577</v>
      </c>
      <c r="J20" s="314">
        <f>0.17157712305026*100</f>
        <v>17.157712305025999</v>
      </c>
    </row>
    <row r="21" spans="1:11" ht="16.149999999999999">
      <c r="A21" s="158" t="s">
        <v>164</v>
      </c>
      <c r="B21" s="119">
        <v>19</v>
      </c>
      <c r="C21" s="131">
        <f>0.000706950439053431*100</f>
        <v>7.0695043905343105E-2</v>
      </c>
      <c r="D21" s="119">
        <v>10</v>
      </c>
      <c r="E21" s="131">
        <f>0.625*100</f>
        <v>62.5</v>
      </c>
      <c r="F21" s="159">
        <v>4</v>
      </c>
      <c r="G21" s="160">
        <v>9</v>
      </c>
      <c r="H21" s="307">
        <f>0.5625*100</f>
        <v>56.25</v>
      </c>
      <c r="I21" s="226">
        <v>61</v>
      </c>
      <c r="J21" s="314">
        <f>0.0655737704918033*100</f>
        <v>6.5573770491803298</v>
      </c>
    </row>
    <row r="22" spans="1:11" ht="16.149999999999999">
      <c r="A22" s="158" t="s">
        <v>165</v>
      </c>
      <c r="B22" s="119">
        <v>47</v>
      </c>
      <c r="C22" s="131">
        <f>0.00174877213871112*100</f>
        <v>0.17487721387111202</v>
      </c>
      <c r="D22" s="119">
        <v>13</v>
      </c>
      <c r="E22" s="131">
        <f>0.619047619047619*100</f>
        <v>61.904761904761898</v>
      </c>
      <c r="F22" s="159">
        <v>11</v>
      </c>
      <c r="G22" s="161">
        <v>11</v>
      </c>
      <c r="H22" s="307">
        <f>0.523809523809524*100</f>
        <v>52.380952380952394</v>
      </c>
      <c r="I22" s="226">
        <v>79</v>
      </c>
      <c r="J22" s="314">
        <f>0.139240506329114*100</f>
        <v>13.924050632911399</v>
      </c>
    </row>
    <row r="23" spans="1:11" ht="16.149999999999999">
      <c r="A23" s="158" t="s">
        <v>166</v>
      </c>
      <c r="B23" s="119">
        <v>146</v>
      </c>
      <c r="C23" s="131">
        <f>0.00543235600535794*100</f>
        <v>0.54323560053579401</v>
      </c>
      <c r="D23" s="119">
        <v>17</v>
      </c>
      <c r="E23" s="131">
        <f>0.435897435897436*100</f>
        <v>43.589743589743598</v>
      </c>
      <c r="F23" s="159">
        <v>60</v>
      </c>
      <c r="G23" s="161">
        <v>14</v>
      </c>
      <c r="H23" s="307">
        <f>0.358974358974359*100</f>
        <v>35.897435897435898</v>
      </c>
      <c r="I23" s="226">
        <v>289</v>
      </c>
      <c r="J23" s="314">
        <f>0.207612456747405*100</f>
        <v>20.761245674740501</v>
      </c>
    </row>
    <row r="24" spans="1:11" ht="16.149999999999999">
      <c r="A24" s="158" t="s">
        <v>185</v>
      </c>
      <c r="B24" s="119">
        <v>55</v>
      </c>
      <c r="C24" s="131">
        <f>0.00204643548147046*100</f>
        <v>0.20464354814704599</v>
      </c>
      <c r="D24" s="119">
        <v>8</v>
      </c>
      <c r="E24" s="131">
        <f>0.333333333333333*100</f>
        <v>33.3333333333333</v>
      </c>
      <c r="F24" s="159">
        <v>8</v>
      </c>
      <c r="G24" s="161">
        <v>5</v>
      </c>
      <c r="H24" s="307">
        <f>0.208333333333333*100</f>
        <v>20.8333333333333</v>
      </c>
      <c r="I24" s="226">
        <v>64</v>
      </c>
      <c r="J24" s="314">
        <f>0.125*100</f>
        <v>12.5</v>
      </c>
    </row>
    <row r="25" spans="1:11" ht="16.149999999999999">
      <c r="A25" s="158" t="s">
        <v>168</v>
      </c>
      <c r="B25" s="119">
        <v>66</v>
      </c>
      <c r="C25" s="131">
        <f>0.00245572257776455*100</f>
        <v>0.24557225777645503</v>
      </c>
      <c r="D25" s="119">
        <v>13</v>
      </c>
      <c r="E25" s="131">
        <f>0.52*100</f>
        <v>52</v>
      </c>
      <c r="F25" s="159">
        <v>16</v>
      </c>
      <c r="G25" s="161">
        <v>12</v>
      </c>
      <c r="H25" s="307">
        <f>0.48*100</f>
        <v>48</v>
      </c>
      <c r="I25" s="226">
        <v>84</v>
      </c>
      <c r="J25" s="314">
        <f>0.19047619047619*100</f>
        <v>19.047619047618998</v>
      </c>
    </row>
    <row r="26" spans="1:11">
      <c r="A26" s="109" t="s">
        <v>370</v>
      </c>
      <c r="B26" s="109"/>
      <c r="C26" s="109"/>
      <c r="D26" s="109"/>
      <c r="E26" s="109"/>
      <c r="F26" s="110"/>
      <c r="G26" s="111"/>
      <c r="H26" s="162"/>
      <c r="I26" s="110"/>
      <c r="J26" s="110"/>
      <c r="K26" s="110"/>
    </row>
    <row r="27" spans="1:11">
      <c r="A27" s="199" t="s">
        <v>503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0"/>
    </row>
    <row r="28" spans="1:11">
      <c r="A28" s="200" t="s">
        <v>504</v>
      </c>
      <c r="B28" s="200"/>
      <c r="C28" s="200"/>
      <c r="D28" s="200"/>
      <c r="E28" s="200"/>
      <c r="F28" s="200"/>
      <c r="G28" s="200"/>
      <c r="H28" s="200"/>
      <c r="I28" s="200"/>
      <c r="J28" s="200"/>
      <c r="K28" s="200"/>
    </row>
  </sheetData>
  <mergeCells count="14">
    <mergeCell ref="G18:H18"/>
    <mergeCell ref="I18:J18"/>
    <mergeCell ref="A1:J1"/>
    <mergeCell ref="A2:A3"/>
    <mergeCell ref="B2:C2"/>
    <mergeCell ref="D2:E2"/>
    <mergeCell ref="F2:F3"/>
    <mergeCell ref="G2:H2"/>
    <mergeCell ref="I2:J2"/>
    <mergeCell ref="A17:J17"/>
    <mergeCell ref="A18:A19"/>
    <mergeCell ref="B18:C18"/>
    <mergeCell ref="D18:E18"/>
    <mergeCell ref="F18:F19"/>
  </mergeCells>
  <pageMargins left="0.511811024" right="0.511811024" top="0.78740157499999996" bottom="0.78740157499999996" header="0.31496062000000002" footer="0.3149606200000000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0310A-893F-4C6E-BD3F-554D7E2D33D9}">
  <dimension ref="A1:K40"/>
  <sheetViews>
    <sheetView topLeftCell="A17" workbookViewId="0">
      <selection activeCell="A44" sqref="A44"/>
    </sheetView>
  </sheetViews>
  <sheetFormatPr defaultRowHeight="14.45"/>
  <cols>
    <col min="1" max="1" width="27.5703125" customWidth="1"/>
    <col min="2" max="2" width="14.28515625" customWidth="1"/>
    <col min="3" max="6" width="17.5703125" customWidth="1"/>
  </cols>
  <sheetData>
    <row r="1" spans="1:9" ht="52.15" customHeight="1">
      <c r="A1" s="400" t="s">
        <v>507</v>
      </c>
      <c r="B1" s="400"/>
      <c r="C1" s="400"/>
      <c r="D1" s="400"/>
      <c r="E1" s="400"/>
      <c r="F1" s="400"/>
    </row>
    <row r="2" spans="1:9" ht="16.149999999999999">
      <c r="A2" s="428" t="s">
        <v>508</v>
      </c>
      <c r="B2" s="428" t="s">
        <v>180</v>
      </c>
      <c r="C2" s="430" t="s">
        <v>180</v>
      </c>
      <c r="D2" s="431"/>
      <c r="E2" s="430" t="s">
        <v>184</v>
      </c>
      <c r="F2" s="431"/>
    </row>
    <row r="3" spans="1:9" ht="16.149999999999999">
      <c r="A3" s="429"/>
      <c r="B3" s="429"/>
      <c r="C3" s="115" t="s">
        <v>253</v>
      </c>
      <c r="D3" s="115" t="s">
        <v>199</v>
      </c>
      <c r="E3" s="115" t="s">
        <v>253</v>
      </c>
      <c r="F3" s="115" t="s">
        <v>199</v>
      </c>
      <c r="H3" s="146"/>
      <c r="I3" s="146"/>
    </row>
    <row r="4" spans="1:9" ht="16.149999999999999">
      <c r="A4" s="136" t="s">
        <v>384</v>
      </c>
      <c r="B4" s="196">
        <v>663906</v>
      </c>
      <c r="C4" s="196">
        <v>28770</v>
      </c>
      <c r="D4" s="196">
        <v>635136</v>
      </c>
      <c r="E4" s="311">
        <v>100</v>
      </c>
      <c r="F4" s="311">
        <v>100</v>
      </c>
      <c r="H4" s="146"/>
      <c r="I4" s="146"/>
    </row>
    <row r="5" spans="1:9" ht="16.149999999999999">
      <c r="A5" s="107" t="s">
        <v>509</v>
      </c>
      <c r="B5" s="117">
        <v>29209</v>
      </c>
      <c r="C5" s="117">
        <v>1442</v>
      </c>
      <c r="D5" s="117">
        <v>27767</v>
      </c>
      <c r="E5" s="113">
        <v>9.9764770997647716</v>
      </c>
      <c r="F5" s="113">
        <v>9.107487839517713</v>
      </c>
      <c r="H5" s="146"/>
    </row>
    <row r="6" spans="1:9" ht="16.149999999999999">
      <c r="A6" s="107" t="s">
        <v>510</v>
      </c>
      <c r="B6" s="117">
        <v>2614</v>
      </c>
      <c r="C6" s="117">
        <v>58</v>
      </c>
      <c r="D6" s="117">
        <v>2556</v>
      </c>
      <c r="E6" s="113">
        <v>0.40127300401273003</v>
      </c>
      <c r="F6" s="113">
        <v>0.83835988467631628</v>
      </c>
    </row>
    <row r="7" spans="1:9" ht="16.149999999999999">
      <c r="A7" s="107" t="s">
        <v>511</v>
      </c>
      <c r="B7" s="117">
        <v>6289</v>
      </c>
      <c r="C7" s="117">
        <v>402</v>
      </c>
      <c r="D7" s="117">
        <v>5887</v>
      </c>
      <c r="E7" s="113">
        <v>2.7812370278123701</v>
      </c>
      <c r="F7" s="113">
        <v>1.9309173087204516</v>
      </c>
    </row>
    <row r="8" spans="1:9" ht="16.149999999999999">
      <c r="A8" s="107" t="s">
        <v>512</v>
      </c>
      <c r="B8" s="117">
        <f>SUM(C8:D8)</f>
        <v>17376</v>
      </c>
      <c r="C8" s="117">
        <v>753</v>
      </c>
      <c r="D8" s="117">
        <v>16623</v>
      </c>
      <c r="E8" s="113">
        <v>5.2096305520963053</v>
      </c>
      <c r="F8" s="113">
        <v>5.4522912218209729</v>
      </c>
    </row>
    <row r="9" spans="1:9" ht="16.149999999999999">
      <c r="A9" s="165" t="s">
        <v>513</v>
      </c>
      <c r="B9" s="246">
        <v>72536</v>
      </c>
      <c r="C9" s="246">
        <v>3935</v>
      </c>
      <c r="D9" s="246">
        <v>68601</v>
      </c>
      <c r="E9" s="113">
        <v>27.224297772242977</v>
      </c>
      <c r="F9" s="113">
        <v>22.500910191189348</v>
      </c>
    </row>
    <row r="10" spans="1:9" ht="16.149999999999999">
      <c r="A10" s="158" t="s">
        <v>514</v>
      </c>
      <c r="B10" s="127">
        <v>86344</v>
      </c>
      <c r="C10" s="127">
        <v>4074</v>
      </c>
      <c r="D10" s="127">
        <v>82270</v>
      </c>
      <c r="E10" s="113">
        <v>28.185969281859691</v>
      </c>
      <c r="F10" s="113">
        <v>26.984298791987694</v>
      </c>
    </row>
    <row r="11" spans="1:9" ht="16.149999999999999">
      <c r="A11" s="158" t="s">
        <v>515</v>
      </c>
      <c r="B11" s="127">
        <v>42150</v>
      </c>
      <c r="C11" s="127">
        <v>1656</v>
      </c>
      <c r="D11" s="127">
        <v>40494</v>
      </c>
      <c r="E11" s="113">
        <v>11.457036114570361</v>
      </c>
      <c r="F11" s="113">
        <v>13.281903431174786</v>
      </c>
    </row>
    <row r="12" spans="1:9" ht="16.149999999999999">
      <c r="A12" s="158" t="s">
        <v>516</v>
      </c>
      <c r="B12" s="127">
        <v>36164</v>
      </c>
      <c r="C12" s="127">
        <v>1445</v>
      </c>
      <c r="D12" s="127">
        <v>34719</v>
      </c>
      <c r="E12" s="113">
        <v>9.9972325999723264</v>
      </c>
      <c r="F12" s="113">
        <v>11.387721766853296</v>
      </c>
    </row>
    <row r="13" spans="1:9" ht="16.149999999999999">
      <c r="A13" s="158" t="s">
        <v>517</v>
      </c>
      <c r="B13" s="127">
        <v>19347</v>
      </c>
      <c r="C13" s="127">
        <v>535</v>
      </c>
      <c r="D13" s="127">
        <v>18812</v>
      </c>
      <c r="E13" s="113">
        <v>3.7013975370139756</v>
      </c>
      <c r="F13" s="113">
        <v>6.1702762717256894</v>
      </c>
    </row>
    <row r="14" spans="1:9" ht="16.149999999999999">
      <c r="A14" s="158" t="s">
        <v>518</v>
      </c>
      <c r="B14" s="127">
        <v>6330</v>
      </c>
      <c r="C14" s="127">
        <v>133</v>
      </c>
      <c r="D14" s="127">
        <v>6197</v>
      </c>
      <c r="E14" s="113">
        <v>0.92016050920160508</v>
      </c>
      <c r="F14" s="113">
        <v>2.0325963244675793</v>
      </c>
    </row>
    <row r="15" spans="1:9" ht="16.149999999999999">
      <c r="A15" s="158" t="s">
        <v>519</v>
      </c>
      <c r="B15" s="127">
        <v>976</v>
      </c>
      <c r="C15" s="127">
        <v>21</v>
      </c>
      <c r="D15" s="127">
        <v>955</v>
      </c>
      <c r="E15" s="113">
        <v>0.14528850145288502</v>
      </c>
      <c r="F15" s="113">
        <v>0.31323696786615107</v>
      </c>
    </row>
    <row r="16" spans="1:9" ht="15" customHeight="1">
      <c r="A16" s="227" t="s">
        <v>370</v>
      </c>
      <c r="B16" s="128"/>
      <c r="C16" s="128"/>
      <c r="D16" s="128"/>
      <c r="E16" s="377"/>
      <c r="F16" s="102"/>
    </row>
    <row r="17" spans="1:11" ht="15" customHeight="1">
      <c r="A17" s="62" t="s">
        <v>520</v>
      </c>
      <c r="B17" s="62"/>
      <c r="C17" s="62"/>
      <c r="D17" s="347"/>
      <c r="F17" s="200"/>
      <c r="G17" s="200"/>
      <c r="H17" s="200"/>
      <c r="I17" s="200"/>
      <c r="J17" s="200"/>
      <c r="K17" s="200"/>
    </row>
    <row r="18" spans="1:11" ht="67.5" customHeight="1">
      <c r="A18" s="396" t="s">
        <v>398</v>
      </c>
      <c r="B18" s="396"/>
      <c r="C18" s="396"/>
      <c r="D18" s="396"/>
      <c r="E18" s="396"/>
      <c r="F18" s="200"/>
      <c r="G18" s="200"/>
      <c r="H18" s="200"/>
      <c r="I18" s="200"/>
      <c r="J18" s="200"/>
      <c r="K18" s="200"/>
    </row>
    <row r="19" spans="1:11">
      <c r="A19" s="109" t="s">
        <v>521</v>
      </c>
      <c r="B19" s="371"/>
      <c r="C19" s="109"/>
      <c r="D19" s="200"/>
      <c r="E19" s="200"/>
    </row>
    <row r="20" spans="1:11">
      <c r="B20" s="146"/>
      <c r="C20" s="146"/>
      <c r="D20" s="146"/>
    </row>
    <row r="21" spans="1:11" ht="51.6" customHeight="1">
      <c r="A21" s="400" t="s">
        <v>522</v>
      </c>
      <c r="B21" s="400"/>
      <c r="C21" s="400"/>
      <c r="D21" s="400"/>
      <c r="E21" s="400"/>
      <c r="F21" s="400"/>
    </row>
    <row r="22" spans="1:11" ht="16.149999999999999">
      <c r="A22" s="428" t="s">
        <v>508</v>
      </c>
      <c r="B22" s="428" t="s">
        <v>180</v>
      </c>
      <c r="C22" s="430" t="s">
        <v>180</v>
      </c>
      <c r="D22" s="431"/>
      <c r="E22" s="430" t="s">
        <v>184</v>
      </c>
      <c r="F22" s="431"/>
    </row>
    <row r="23" spans="1:11" ht="16.149999999999999">
      <c r="A23" s="429"/>
      <c r="B23" s="429"/>
      <c r="C23" s="115" t="s">
        <v>253</v>
      </c>
      <c r="D23" s="115" t="s">
        <v>199</v>
      </c>
      <c r="E23" s="115" t="s">
        <v>253</v>
      </c>
      <c r="F23" s="115" t="s">
        <v>199</v>
      </c>
    </row>
    <row r="24" spans="1:11" ht="16.149999999999999">
      <c r="A24" s="136" t="s">
        <v>384</v>
      </c>
      <c r="B24" s="196">
        <v>643008</v>
      </c>
      <c r="C24" s="197">
        <v>26876</v>
      </c>
      <c r="D24" s="196">
        <v>616132</v>
      </c>
      <c r="E24" s="311">
        <v>100</v>
      </c>
      <c r="F24" s="311">
        <v>100</v>
      </c>
    </row>
    <row r="25" spans="1:11" ht="16.149999999999999">
      <c r="A25" s="107" t="s">
        <v>509</v>
      </c>
      <c r="B25" s="117">
        <v>25706</v>
      </c>
      <c r="C25" s="117">
        <v>1099</v>
      </c>
      <c r="D25" s="117">
        <v>24607</v>
      </c>
      <c r="E25" s="113">
        <v>8.3982882469815063</v>
      </c>
      <c r="F25" s="113">
        <v>8.2881990757581878</v>
      </c>
    </row>
    <row r="26" spans="1:11" ht="16.149999999999999">
      <c r="A26" s="107" t="s">
        <v>510</v>
      </c>
      <c r="B26" s="117">
        <v>2827</v>
      </c>
      <c r="C26" s="117">
        <v>57</v>
      </c>
      <c r="D26" s="117">
        <v>2770</v>
      </c>
      <c r="E26" s="113">
        <v>0.43558000917010548</v>
      </c>
      <c r="F26" s="113">
        <v>0.93299920509815015</v>
      </c>
    </row>
    <row r="27" spans="1:11" ht="16.149999999999999">
      <c r="A27" s="107" t="s">
        <v>511</v>
      </c>
      <c r="B27" s="117">
        <v>6372</v>
      </c>
      <c r="C27" s="117">
        <v>247</v>
      </c>
      <c r="D27" s="117">
        <v>6125</v>
      </c>
      <c r="E27" s="113">
        <v>1.887513373070457</v>
      </c>
      <c r="F27" s="113">
        <v>2.0630397585654041</v>
      </c>
    </row>
    <row r="28" spans="1:11" ht="16.149999999999999">
      <c r="A28" s="107" t="s">
        <v>512</v>
      </c>
      <c r="B28" s="117">
        <v>18405</v>
      </c>
      <c r="C28" s="117">
        <v>797</v>
      </c>
      <c r="D28" s="117">
        <v>17608</v>
      </c>
      <c r="E28" s="113">
        <v>6.0904783738346326</v>
      </c>
      <c r="F28" s="113">
        <v>5.9307761745011653</v>
      </c>
    </row>
    <row r="29" spans="1:11" ht="16.149999999999999">
      <c r="A29" s="165" t="s">
        <v>513</v>
      </c>
      <c r="B29" s="246">
        <v>75223</v>
      </c>
      <c r="C29" s="246">
        <v>3760</v>
      </c>
      <c r="D29" s="246">
        <v>71463</v>
      </c>
      <c r="E29" s="113">
        <v>28.732997096133271</v>
      </c>
      <c r="F29" s="113">
        <v>24.070369023079099</v>
      </c>
    </row>
    <row r="30" spans="1:11" ht="16.149999999999999">
      <c r="A30" s="158" t="s">
        <v>514</v>
      </c>
      <c r="B30" s="127">
        <v>82311</v>
      </c>
      <c r="C30" s="127">
        <v>3764</v>
      </c>
      <c r="D30" s="127">
        <v>78547</v>
      </c>
      <c r="E30" s="113">
        <v>28.763564114320648</v>
      </c>
      <c r="F30" s="113">
        <v>26.456421863842746</v>
      </c>
    </row>
    <row r="31" spans="1:11" ht="16.149999999999999">
      <c r="A31" s="158" t="s">
        <v>515</v>
      </c>
      <c r="B31" s="127">
        <v>38838</v>
      </c>
      <c r="C31" s="127">
        <v>1579</v>
      </c>
      <c r="D31" s="127">
        <v>37259</v>
      </c>
      <c r="E31" s="113">
        <v>12.066330429466605</v>
      </c>
      <c r="F31" s="113">
        <v>12.549681365614433</v>
      </c>
    </row>
    <row r="32" spans="1:11" ht="16.149999999999999">
      <c r="A32" s="158" t="s">
        <v>516</v>
      </c>
      <c r="B32" s="127">
        <v>34359</v>
      </c>
      <c r="C32" s="127">
        <v>1203</v>
      </c>
      <c r="D32" s="127">
        <v>33156</v>
      </c>
      <c r="E32" s="113">
        <v>9.1930307198532777</v>
      </c>
      <c r="F32" s="113">
        <v>11.167697344488905</v>
      </c>
    </row>
    <row r="33" spans="1:11" ht="16.149999999999999">
      <c r="A33" s="158" t="s">
        <v>517</v>
      </c>
      <c r="B33" s="127">
        <v>18046</v>
      </c>
      <c r="C33" s="127">
        <v>432</v>
      </c>
      <c r="D33" s="127">
        <v>17614</v>
      </c>
      <c r="E33" s="113">
        <v>3.3012379642365888</v>
      </c>
      <c r="F33" s="113">
        <v>5.9327971114075151</v>
      </c>
    </row>
    <row r="34" spans="1:11" ht="16.149999999999999">
      <c r="A34" s="158" t="s">
        <v>518</v>
      </c>
      <c r="B34" s="127">
        <v>6158</v>
      </c>
      <c r="C34" s="127">
        <v>109</v>
      </c>
      <c r="D34" s="127">
        <v>6049</v>
      </c>
      <c r="E34" s="113">
        <v>0.8329512456059911</v>
      </c>
      <c r="F34" s="113">
        <v>2.0374412244183069</v>
      </c>
    </row>
    <row r="35" spans="1:11" ht="16.149999999999999">
      <c r="A35" s="158" t="s">
        <v>519</v>
      </c>
      <c r="B35" s="127">
        <v>1733</v>
      </c>
      <c r="C35" s="127">
        <v>39</v>
      </c>
      <c r="D35" s="127">
        <v>1694</v>
      </c>
      <c r="E35" s="113">
        <v>0.29802842732691426</v>
      </c>
      <c r="F35" s="113">
        <v>0.57057785322608889</v>
      </c>
    </row>
    <row r="36" spans="1:11" ht="16.149999999999999">
      <c r="A36" s="376"/>
      <c r="B36" s="128"/>
      <c r="C36" s="128"/>
      <c r="D36" s="128"/>
      <c r="E36" s="129"/>
      <c r="F36" s="129"/>
    </row>
    <row r="37" spans="1:11" ht="16.149999999999999">
      <c r="A37" s="227" t="s">
        <v>370</v>
      </c>
      <c r="B37" s="128"/>
      <c r="C37" s="128"/>
      <c r="D37" s="128"/>
      <c r="E37" s="377"/>
      <c r="F37" s="102"/>
    </row>
    <row r="38" spans="1:11">
      <c r="A38" s="62" t="s">
        <v>520</v>
      </c>
      <c r="B38" s="62"/>
      <c r="C38" s="62"/>
      <c r="D38" s="347"/>
      <c r="F38" s="200"/>
      <c r="G38" s="200"/>
      <c r="H38" s="200"/>
      <c r="I38" s="200"/>
      <c r="J38" s="200"/>
      <c r="K38" s="200"/>
    </row>
    <row r="39" spans="1:11" ht="61.5" customHeight="1">
      <c r="A39" s="396" t="s">
        <v>398</v>
      </c>
      <c r="B39" s="396"/>
      <c r="C39" s="396"/>
      <c r="D39" s="396"/>
      <c r="E39" s="396"/>
      <c r="F39" s="200"/>
      <c r="G39" s="200"/>
      <c r="H39" s="200"/>
      <c r="I39" s="200"/>
      <c r="J39" s="200"/>
      <c r="K39" s="200"/>
    </row>
    <row r="40" spans="1:11">
      <c r="A40" s="109" t="s">
        <v>521</v>
      </c>
      <c r="B40" s="371"/>
      <c r="C40" s="109"/>
      <c r="D40" s="200"/>
      <c r="E40" s="200"/>
    </row>
  </sheetData>
  <mergeCells count="12">
    <mergeCell ref="A18:E18"/>
    <mergeCell ref="A39:E39"/>
    <mergeCell ref="A1:F1"/>
    <mergeCell ref="A2:A3"/>
    <mergeCell ref="B2:B3"/>
    <mergeCell ref="C2:D2"/>
    <mergeCell ref="E2:F2"/>
    <mergeCell ref="A21:F21"/>
    <mergeCell ref="A22:A23"/>
    <mergeCell ref="B22:B23"/>
    <mergeCell ref="C22:D22"/>
    <mergeCell ref="E22:F22"/>
  </mergeCells>
  <pageMargins left="0.511811024" right="0.511811024" top="0.78740157499999996" bottom="0.78740157499999996" header="0.31496062000000002" footer="0.3149606200000000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ABA6A-9F4F-4DAB-8E62-612CF72B5C54}">
  <dimension ref="A1:K25"/>
  <sheetViews>
    <sheetView workbookViewId="0">
      <selection activeCell="A15" sqref="A15:F15"/>
    </sheetView>
  </sheetViews>
  <sheetFormatPr defaultRowHeight="14.45"/>
  <cols>
    <col min="1" max="1" width="43.7109375" customWidth="1"/>
    <col min="2" max="2" width="16.28515625" customWidth="1"/>
    <col min="3" max="4" width="18.28515625" customWidth="1"/>
    <col min="5" max="5" width="18.140625" customWidth="1"/>
    <col min="6" max="6" width="18.7109375" customWidth="1"/>
  </cols>
  <sheetData>
    <row r="1" spans="1:11" ht="39" customHeight="1">
      <c r="A1" s="401" t="s">
        <v>523</v>
      </c>
      <c r="B1" s="401"/>
      <c r="C1" s="401"/>
      <c r="D1" s="401"/>
      <c r="E1" s="401"/>
      <c r="F1" s="401"/>
    </row>
    <row r="2" spans="1:11" ht="16.149999999999999">
      <c r="A2" s="466" t="s">
        <v>524</v>
      </c>
      <c r="B2" s="466" t="s">
        <v>180</v>
      </c>
      <c r="C2" s="467" t="s">
        <v>180</v>
      </c>
      <c r="D2" s="468"/>
      <c r="E2" s="439" t="s">
        <v>238</v>
      </c>
      <c r="F2" s="439"/>
    </row>
    <row r="3" spans="1:11" ht="16.149999999999999">
      <c r="A3" s="466"/>
      <c r="B3" s="466"/>
      <c r="C3" s="13" t="s">
        <v>253</v>
      </c>
      <c r="D3" s="13" t="s">
        <v>199</v>
      </c>
      <c r="E3" s="13" t="s">
        <v>253</v>
      </c>
      <c r="F3" s="13" t="s">
        <v>199</v>
      </c>
    </row>
    <row r="4" spans="1:11" ht="16.149999999999999">
      <c r="A4" s="29" t="s">
        <v>180</v>
      </c>
      <c r="B4" s="315">
        <v>1064</v>
      </c>
      <c r="C4" s="315">
        <v>27</v>
      </c>
      <c r="D4" s="315">
        <v>1037</v>
      </c>
      <c r="E4" s="30">
        <f>0.000938477580813347*100</f>
        <v>9.3847758081334706E-2</v>
      </c>
      <c r="F4" s="30">
        <f>0.00163272118097541*100</f>
        <v>0.163272118097541</v>
      </c>
    </row>
    <row r="5" spans="1:11" ht="16.149999999999999">
      <c r="A5" s="167" t="s">
        <v>525</v>
      </c>
      <c r="B5" s="239">
        <v>747</v>
      </c>
      <c r="C5" s="239">
        <v>17</v>
      </c>
      <c r="D5" s="239">
        <v>730</v>
      </c>
      <c r="E5" s="228">
        <f>0.000590893291623219*100</f>
        <v>5.9089329162321895E-2</v>
      </c>
      <c r="F5" s="228">
        <f>0.00114936013704152*100</f>
        <v>0.11493601370415199</v>
      </c>
    </row>
    <row r="6" spans="1:11" ht="16.149999999999999">
      <c r="A6" s="166" t="s">
        <v>526</v>
      </c>
      <c r="B6" s="239">
        <v>100</v>
      </c>
      <c r="C6" s="239">
        <v>2</v>
      </c>
      <c r="D6" s="239">
        <v>98</v>
      </c>
      <c r="E6" s="228">
        <f>0.0000695168578380257*100</f>
        <v>6.9516857838025706E-3</v>
      </c>
      <c r="F6" s="228">
        <f>0.000154297662232971*100</f>
        <v>1.5429766223297101E-2</v>
      </c>
      <c r="H6" s="133"/>
      <c r="I6" s="133"/>
    </row>
    <row r="7" spans="1:11" ht="16.149999999999999">
      <c r="A7" s="166" t="s">
        <v>527</v>
      </c>
      <c r="B7" s="239">
        <v>84</v>
      </c>
      <c r="C7" s="239">
        <v>5</v>
      </c>
      <c r="D7" s="239">
        <v>79</v>
      </c>
      <c r="E7" s="228">
        <f>0.000173792144595064*100</f>
        <v>1.7379214459506402E-2</v>
      </c>
      <c r="F7" s="228">
        <f>0.000124382809351068*100</f>
        <v>1.2438280935106799E-2</v>
      </c>
    </row>
    <row r="8" spans="1:11" ht="16.149999999999999">
      <c r="A8" s="166" t="s">
        <v>528</v>
      </c>
      <c r="B8" s="239">
        <v>32</v>
      </c>
      <c r="C8" s="239">
        <v>1</v>
      </c>
      <c r="D8" s="239">
        <v>31</v>
      </c>
      <c r="E8" s="228">
        <f>0.0000347584289190129*100</f>
        <v>3.4758428919012896E-3</v>
      </c>
      <c r="F8" s="228">
        <f>0.0000488084441757356*100</f>
        <v>4.8808444175735596E-3</v>
      </c>
    </row>
    <row r="9" spans="1:11" ht="16.149999999999999">
      <c r="A9" s="166" t="s">
        <v>529</v>
      </c>
      <c r="B9" s="239">
        <v>101</v>
      </c>
      <c r="C9" s="239">
        <v>2</v>
      </c>
      <c r="D9" s="239">
        <v>99</v>
      </c>
      <c r="E9" s="228">
        <f>0.0000695168578380257*100</f>
        <v>6.9516857838025706E-3</v>
      </c>
      <c r="F9" s="228">
        <f>0.000155872128174123*100</f>
        <v>1.5587212817412299E-2</v>
      </c>
    </row>
    <row r="10" spans="1:11">
      <c r="A10" s="26" t="s">
        <v>370</v>
      </c>
    </row>
    <row r="11" spans="1:11">
      <c r="A11" s="200" t="s">
        <v>530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</row>
    <row r="15" spans="1:11" ht="55.15" customHeight="1">
      <c r="A15" s="401" t="s">
        <v>531</v>
      </c>
      <c r="B15" s="401"/>
      <c r="C15" s="401"/>
      <c r="D15" s="401"/>
      <c r="E15" s="401"/>
      <c r="F15" s="401"/>
    </row>
    <row r="16" spans="1:11" ht="16.149999999999999">
      <c r="A16" s="466" t="s">
        <v>524</v>
      </c>
      <c r="B16" s="466" t="s">
        <v>180</v>
      </c>
      <c r="C16" s="467" t="s">
        <v>180</v>
      </c>
      <c r="D16" s="468"/>
      <c r="E16" s="439" t="s">
        <v>238</v>
      </c>
      <c r="F16" s="439"/>
    </row>
    <row r="17" spans="1:6" ht="16.149999999999999">
      <c r="A17" s="466"/>
      <c r="B17" s="466"/>
      <c r="C17" s="13" t="s">
        <v>253</v>
      </c>
      <c r="D17" s="13" t="s">
        <v>199</v>
      </c>
      <c r="E17" s="13" t="s">
        <v>253</v>
      </c>
      <c r="F17" s="13" t="s">
        <v>199</v>
      </c>
    </row>
    <row r="18" spans="1:6" ht="16.149999999999999">
      <c r="A18" s="316" t="s">
        <v>180</v>
      </c>
      <c r="B18" s="315">
        <v>860</v>
      </c>
      <c r="C18" s="315">
        <v>39</v>
      </c>
      <c r="D18" s="315">
        <v>821</v>
      </c>
      <c r="E18" s="30">
        <f>0.00145110879595178*100</f>
        <v>0.14511087959517799</v>
      </c>
      <c r="F18" s="30">
        <f>0.0013325066706485*100</f>
        <v>0.13325066706485</v>
      </c>
    </row>
    <row r="19" spans="1:6" ht="16.149999999999999">
      <c r="A19" s="167" t="s">
        <v>525</v>
      </c>
      <c r="B19" s="239">
        <v>615</v>
      </c>
      <c r="C19" s="239">
        <v>26</v>
      </c>
      <c r="D19" s="239">
        <v>589</v>
      </c>
      <c r="E19" s="228">
        <f>0.000967405863967852*100</f>
        <v>9.6740586396785191E-2</v>
      </c>
      <c r="F19" s="228">
        <f>0.000955963981744172*100</f>
        <v>9.5596398174417202E-2</v>
      </c>
    </row>
    <row r="20" spans="1:6" ht="16.149999999999999">
      <c r="A20" s="166" t="s">
        <v>526</v>
      </c>
      <c r="B20" s="239">
        <v>65</v>
      </c>
      <c r="C20" s="239">
        <v>2</v>
      </c>
      <c r="D20" s="239">
        <v>63</v>
      </c>
      <c r="E20" s="228">
        <f>0.0000744158356898348*100</f>
        <v>7.4415835689834791E-3</v>
      </c>
      <c r="F20" s="228">
        <f>0.000102250816383502*100</f>
        <v>1.02250816383502E-2</v>
      </c>
    </row>
    <row r="21" spans="1:6" ht="16.149999999999999">
      <c r="A21" s="166" t="s">
        <v>527</v>
      </c>
      <c r="B21" s="239">
        <v>102</v>
      </c>
      <c r="C21" s="239">
        <v>7</v>
      </c>
      <c r="D21" s="239">
        <v>95</v>
      </c>
      <c r="E21" s="228">
        <f>0.000260455424914422*100</f>
        <v>2.6045542491442201E-2</v>
      </c>
      <c r="F21" s="228">
        <f>0.000154187738990995*100</f>
        <v>1.54187738990995E-2</v>
      </c>
    </row>
    <row r="22" spans="1:6" ht="16.149999999999999">
      <c r="A22" s="166" t="s">
        <v>528</v>
      </c>
      <c r="B22" s="239">
        <v>7</v>
      </c>
      <c r="C22" s="239">
        <v>0</v>
      </c>
      <c r="D22" s="239">
        <v>7</v>
      </c>
      <c r="E22" s="228">
        <f>0*100</f>
        <v>0</v>
      </c>
      <c r="F22" s="228">
        <f>0.0000113612018203891*100</f>
        <v>1.13612018203891E-3</v>
      </c>
    </row>
    <row r="23" spans="1:6" ht="16.149999999999999">
      <c r="A23" s="166" t="s">
        <v>529</v>
      </c>
      <c r="B23" s="239">
        <v>71</v>
      </c>
      <c r="C23" s="239">
        <v>4</v>
      </c>
      <c r="D23" s="239">
        <v>67</v>
      </c>
      <c r="E23" s="228">
        <f>0.00014883167137967*100</f>
        <v>1.4883167137967E-2</v>
      </c>
      <c r="F23" s="228">
        <f>0.000108742931709439*100</f>
        <v>1.08742931709439E-2</v>
      </c>
    </row>
    <row r="24" spans="1:6">
      <c r="A24" s="110" t="s">
        <v>370</v>
      </c>
    </row>
    <row r="25" spans="1:6">
      <c r="A25" s="200" t="s">
        <v>530</v>
      </c>
    </row>
  </sheetData>
  <mergeCells count="10">
    <mergeCell ref="A1:F1"/>
    <mergeCell ref="A2:A3"/>
    <mergeCell ref="B2:B3"/>
    <mergeCell ref="C2:D2"/>
    <mergeCell ref="E2:F2"/>
    <mergeCell ref="A15:F15"/>
    <mergeCell ref="A16:A17"/>
    <mergeCell ref="B16:B17"/>
    <mergeCell ref="C16:D16"/>
    <mergeCell ref="E16:F16"/>
  </mergeCells>
  <pageMargins left="0.511811024" right="0.511811024" top="0.78740157499999996" bottom="0.78740157499999996" header="0.31496062000000002" footer="0.3149606200000000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5B253-80B9-4D62-90D6-6AE9B930A038}">
  <dimension ref="A1:C7"/>
  <sheetViews>
    <sheetView workbookViewId="0">
      <selection sqref="A1:C1"/>
    </sheetView>
  </sheetViews>
  <sheetFormatPr defaultRowHeight="14.45"/>
  <cols>
    <col min="1" max="1" width="28.28515625" customWidth="1"/>
    <col min="2" max="3" width="24.28515625" customWidth="1"/>
  </cols>
  <sheetData>
    <row r="1" spans="1:3" ht="51.75" customHeight="1">
      <c r="A1" s="400" t="s">
        <v>532</v>
      </c>
      <c r="B1" s="400"/>
      <c r="C1" s="400"/>
    </row>
    <row r="2" spans="1:3" ht="16.149999999999999">
      <c r="A2" s="103"/>
      <c r="B2" s="115" t="s">
        <v>533</v>
      </c>
      <c r="C2" s="113" t="s">
        <v>184</v>
      </c>
    </row>
    <row r="3" spans="1:3" ht="16.149999999999999">
      <c r="A3" s="104" t="s">
        <v>180</v>
      </c>
      <c r="B3" s="169">
        <f>SUM(B4:B6)</f>
        <v>1155</v>
      </c>
      <c r="C3" s="170">
        <f>B3/$B$3*100</f>
        <v>100</v>
      </c>
    </row>
    <row r="4" spans="1:3" ht="16.149999999999999">
      <c r="A4" s="107" t="s">
        <v>534</v>
      </c>
      <c r="B4" s="171">
        <v>575</v>
      </c>
      <c r="C4" s="172">
        <f>B4/$B$3*100</f>
        <v>49.783549783549788</v>
      </c>
    </row>
    <row r="5" spans="1:3" ht="16.149999999999999">
      <c r="A5" s="107" t="s">
        <v>535</v>
      </c>
      <c r="B5" s="171">
        <v>487</v>
      </c>
      <c r="C5" s="172">
        <f>B5/$B$3*100</f>
        <v>42.164502164502167</v>
      </c>
    </row>
    <row r="6" spans="1:3" ht="16.149999999999999">
      <c r="A6" s="107" t="s">
        <v>536</v>
      </c>
      <c r="B6" s="171">
        <v>93</v>
      </c>
      <c r="C6" s="172">
        <f>B6/$B$3*100</f>
        <v>8.0519480519480524</v>
      </c>
    </row>
    <row r="7" spans="1:3">
      <c r="A7" s="469" t="s">
        <v>537</v>
      </c>
      <c r="B7" s="469"/>
      <c r="C7" s="469"/>
    </row>
  </sheetData>
  <mergeCells count="2">
    <mergeCell ref="A1:C1"/>
    <mergeCell ref="A7:C7"/>
  </mergeCells>
  <pageMargins left="0.511811024" right="0.511811024" top="0.78740157499999996" bottom="0.78740157499999996" header="0.31496062000000002" footer="0.3149606200000000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1F2EE-441C-478E-8E43-A48DBA032F15}">
  <dimension ref="A1:C13"/>
  <sheetViews>
    <sheetView workbookViewId="0">
      <selection sqref="A1:C1"/>
    </sheetView>
  </sheetViews>
  <sheetFormatPr defaultRowHeight="14.45"/>
  <cols>
    <col min="1" max="1" width="88.5703125" customWidth="1"/>
    <col min="2" max="2" width="24.5703125" customWidth="1"/>
    <col min="3" max="3" width="25.85546875" customWidth="1"/>
  </cols>
  <sheetData>
    <row r="1" spans="1:3" ht="43.5" customHeight="1">
      <c r="A1" s="400" t="s">
        <v>538</v>
      </c>
      <c r="B1" s="400"/>
      <c r="C1" s="400"/>
    </row>
    <row r="2" spans="1:3" ht="16.149999999999999">
      <c r="A2" s="103" t="s">
        <v>252</v>
      </c>
      <c r="B2" s="115" t="s">
        <v>533</v>
      </c>
      <c r="C2" s="173" t="s">
        <v>184</v>
      </c>
    </row>
    <row r="3" spans="1:3" ht="16.149999999999999" customHeight="1">
      <c r="A3" s="174" t="s">
        <v>180</v>
      </c>
      <c r="B3" s="175">
        <f>SUM(B4:B12)</f>
        <v>4794</v>
      </c>
      <c r="C3" s="170">
        <f t="shared" ref="C3:C12" si="0">B3/$B$3*100</f>
        <v>100</v>
      </c>
    </row>
    <row r="4" spans="1:3" ht="16.149999999999999" customHeight="1">
      <c r="A4" s="125" t="s">
        <v>539</v>
      </c>
      <c r="B4" s="171">
        <v>139</v>
      </c>
      <c r="C4" s="176">
        <f t="shared" si="0"/>
        <v>2.8994576554025864</v>
      </c>
    </row>
    <row r="5" spans="1:3" ht="16.149999999999999" customHeight="1">
      <c r="A5" s="125" t="s">
        <v>540</v>
      </c>
      <c r="B5" s="171">
        <v>391</v>
      </c>
      <c r="C5" s="176">
        <f t="shared" si="0"/>
        <v>8.1560283687943276</v>
      </c>
    </row>
    <row r="6" spans="1:3" ht="16.149999999999999" customHeight="1">
      <c r="A6" s="125" t="s">
        <v>541</v>
      </c>
      <c r="B6" s="171">
        <v>396</v>
      </c>
      <c r="C6" s="176">
        <f t="shared" si="0"/>
        <v>8.2603254067584473</v>
      </c>
    </row>
    <row r="7" spans="1:3" ht="16.149999999999999" customHeight="1">
      <c r="A7" s="125" t="s">
        <v>542</v>
      </c>
      <c r="B7" s="171">
        <v>590</v>
      </c>
      <c r="C7" s="176">
        <f t="shared" si="0"/>
        <v>12.307050479766374</v>
      </c>
    </row>
    <row r="8" spans="1:3" ht="16.149999999999999">
      <c r="A8" s="125" t="s">
        <v>543</v>
      </c>
      <c r="B8" s="171">
        <v>942</v>
      </c>
      <c r="C8" s="176">
        <f t="shared" si="0"/>
        <v>19.64956195244055</v>
      </c>
    </row>
    <row r="9" spans="1:3" ht="16.149999999999999" customHeight="1">
      <c r="A9" s="125" t="s">
        <v>544</v>
      </c>
      <c r="B9" s="171">
        <v>893</v>
      </c>
      <c r="C9" s="176">
        <f t="shared" si="0"/>
        <v>18.627450980392158</v>
      </c>
    </row>
    <row r="10" spans="1:3" ht="16.149999999999999" customHeight="1">
      <c r="A10" s="125" t="s">
        <v>545</v>
      </c>
      <c r="B10" s="171">
        <v>4</v>
      </c>
      <c r="C10" s="176">
        <f t="shared" si="0"/>
        <v>8.343763037129745E-2</v>
      </c>
    </row>
    <row r="11" spans="1:3" ht="16.149999999999999" customHeight="1">
      <c r="A11" s="125" t="s">
        <v>546</v>
      </c>
      <c r="B11" s="171">
        <v>1283</v>
      </c>
      <c r="C11" s="176">
        <f t="shared" si="0"/>
        <v>26.762619941593655</v>
      </c>
    </row>
    <row r="12" spans="1:3" ht="16.149999999999999" customHeight="1">
      <c r="A12" s="125" t="s">
        <v>547</v>
      </c>
      <c r="B12" s="171">
        <v>156</v>
      </c>
      <c r="C12" s="176">
        <f t="shared" si="0"/>
        <v>3.2540675844806008</v>
      </c>
    </row>
    <row r="13" spans="1:3">
      <c r="A13" s="109" t="s">
        <v>537</v>
      </c>
      <c r="B13" s="102"/>
      <c r="C13" s="177"/>
    </row>
  </sheetData>
  <mergeCells count="1">
    <mergeCell ref="A1:C1"/>
  </mergeCells>
  <pageMargins left="0.511811024" right="0.511811024" top="0.78740157499999996" bottom="0.78740157499999996" header="0.31496062000000002" footer="0.3149606200000000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A8FDC-3FAD-4CD0-9DF4-1C6341BD16E1}">
  <dimension ref="A1:I20"/>
  <sheetViews>
    <sheetView workbookViewId="0">
      <selection activeCell="G29" sqref="G29"/>
    </sheetView>
  </sheetViews>
  <sheetFormatPr defaultRowHeight="14.45"/>
  <cols>
    <col min="1" max="1" width="45.42578125" customWidth="1"/>
    <col min="2" max="2" width="17.7109375" customWidth="1"/>
    <col min="3" max="3" width="19.7109375" customWidth="1"/>
    <col min="4" max="4" width="17.7109375" customWidth="1"/>
    <col min="5" max="5" width="19.85546875" customWidth="1"/>
    <col min="6" max="6" width="17.7109375" customWidth="1"/>
    <col min="7" max="7" width="19.85546875" bestFit="1" customWidth="1"/>
    <col min="8" max="8" width="17.7109375" customWidth="1"/>
    <col min="9" max="9" width="19.85546875" bestFit="1" customWidth="1"/>
  </cols>
  <sheetData>
    <row r="1" spans="1:9" ht="30.6" customHeight="1">
      <c r="A1" s="470" t="s">
        <v>548</v>
      </c>
      <c r="B1" s="470"/>
      <c r="C1" s="470"/>
      <c r="D1" s="470"/>
      <c r="E1" s="470"/>
      <c r="F1" s="470"/>
      <c r="G1" s="470"/>
      <c r="H1" s="470"/>
      <c r="I1" s="470"/>
    </row>
    <row r="2" spans="1:9" ht="16.149999999999999">
      <c r="A2" s="471" t="s">
        <v>549</v>
      </c>
      <c r="B2" s="472" t="s">
        <v>180</v>
      </c>
      <c r="C2" s="472"/>
      <c r="D2" s="472" t="s">
        <v>253</v>
      </c>
      <c r="E2" s="472"/>
      <c r="F2" s="472" t="s">
        <v>199</v>
      </c>
      <c r="G2" s="472"/>
      <c r="H2" s="472" t="s">
        <v>550</v>
      </c>
      <c r="I2" s="472"/>
    </row>
    <row r="3" spans="1:9" ht="16.149999999999999">
      <c r="A3" s="471"/>
      <c r="B3" s="141" t="s">
        <v>180</v>
      </c>
      <c r="C3" s="141" t="s">
        <v>184</v>
      </c>
      <c r="D3" s="141" t="s">
        <v>180</v>
      </c>
      <c r="E3" s="141" t="s">
        <v>184</v>
      </c>
      <c r="F3" s="141" t="s">
        <v>180</v>
      </c>
      <c r="G3" s="141" t="s">
        <v>184</v>
      </c>
      <c r="H3" s="141" t="s">
        <v>180</v>
      </c>
      <c r="I3" s="141" t="s">
        <v>184</v>
      </c>
    </row>
    <row r="4" spans="1:9" ht="16.149999999999999">
      <c r="A4" s="178" t="s">
        <v>180</v>
      </c>
      <c r="B4" s="169">
        <f>SUM(B5:B10)</f>
        <v>1890</v>
      </c>
      <c r="C4" s="170">
        <f t="shared" ref="C4:C10" si="0">B4/$B$4*100</f>
        <v>100</v>
      </c>
      <c r="D4" s="169">
        <f>SUM(D5:D10)</f>
        <v>452</v>
      </c>
      <c r="E4" s="170">
        <f t="shared" ref="E4:E10" si="1">D4/$D$4*100</f>
        <v>100</v>
      </c>
      <c r="F4" s="169">
        <f>SUM(F5:F10)</f>
        <v>901</v>
      </c>
      <c r="G4" s="170">
        <f t="shared" ref="G4:G10" si="2">F4/$F$4*100</f>
        <v>100</v>
      </c>
      <c r="H4" s="169">
        <f>SUM(H5:H10)</f>
        <v>540</v>
      </c>
      <c r="I4" s="170">
        <f t="shared" ref="I4:I10" si="3">H4/$H$4*100</f>
        <v>100</v>
      </c>
    </row>
    <row r="5" spans="1:9" ht="16.149999999999999">
      <c r="A5" s="179" t="s">
        <v>551</v>
      </c>
      <c r="B5" s="171">
        <v>549</v>
      </c>
      <c r="C5" s="176">
        <f t="shared" si="0"/>
        <v>29.047619047619051</v>
      </c>
      <c r="D5" s="171">
        <v>212</v>
      </c>
      <c r="E5" s="176">
        <f t="shared" si="1"/>
        <v>46.902654867256636</v>
      </c>
      <c r="F5" s="171">
        <v>160</v>
      </c>
      <c r="G5" s="176">
        <f t="shared" si="2"/>
        <v>17.758046614872363</v>
      </c>
      <c r="H5" s="180">
        <v>177</v>
      </c>
      <c r="I5" s="176">
        <f t="shared" si="3"/>
        <v>32.777777777777779</v>
      </c>
    </row>
    <row r="6" spans="1:9" ht="16.149999999999999">
      <c r="A6" s="179" t="s">
        <v>552</v>
      </c>
      <c r="B6" s="171">
        <v>45</v>
      </c>
      <c r="C6" s="176">
        <f t="shared" si="0"/>
        <v>2.3809523809523809</v>
      </c>
      <c r="D6" s="171">
        <v>13</v>
      </c>
      <c r="E6" s="176">
        <f t="shared" si="1"/>
        <v>2.8761061946902653</v>
      </c>
      <c r="F6" s="171">
        <v>27</v>
      </c>
      <c r="G6" s="176">
        <f t="shared" si="2"/>
        <v>2.9966703662597114</v>
      </c>
      <c r="H6" s="180">
        <v>5</v>
      </c>
      <c r="I6" s="176">
        <f t="shared" si="3"/>
        <v>0.92592592592592582</v>
      </c>
    </row>
    <row r="7" spans="1:9" ht="16.149999999999999">
      <c r="A7" s="179" t="s">
        <v>553</v>
      </c>
      <c r="B7" s="171">
        <v>332</v>
      </c>
      <c r="C7" s="176">
        <f t="shared" si="0"/>
        <v>17.566137566137566</v>
      </c>
      <c r="D7" s="171">
        <v>149</v>
      </c>
      <c r="E7" s="176">
        <f t="shared" si="1"/>
        <v>32.964601769911503</v>
      </c>
      <c r="F7" s="171">
        <v>127</v>
      </c>
      <c r="G7" s="176">
        <f t="shared" si="2"/>
        <v>14.095449500554938</v>
      </c>
      <c r="H7" s="180">
        <v>59</v>
      </c>
      <c r="I7" s="176">
        <f t="shared" si="3"/>
        <v>10.925925925925926</v>
      </c>
    </row>
    <row r="8" spans="1:9" ht="16.149999999999999">
      <c r="A8" s="179" t="s">
        <v>554</v>
      </c>
      <c r="B8" s="171">
        <v>188</v>
      </c>
      <c r="C8" s="176">
        <f t="shared" si="0"/>
        <v>9.9470899470899479</v>
      </c>
      <c r="D8" s="171">
        <v>60</v>
      </c>
      <c r="E8" s="176">
        <f t="shared" si="1"/>
        <v>13.274336283185843</v>
      </c>
      <c r="F8" s="171">
        <v>120</v>
      </c>
      <c r="G8" s="176">
        <f t="shared" si="2"/>
        <v>13.318534961154274</v>
      </c>
      <c r="H8" s="180">
        <v>8</v>
      </c>
      <c r="I8" s="176">
        <f t="shared" si="3"/>
        <v>1.4814814814814816</v>
      </c>
    </row>
    <row r="9" spans="1:9" ht="16.149999999999999">
      <c r="A9" s="179" t="s">
        <v>555</v>
      </c>
      <c r="B9" s="171">
        <v>755</v>
      </c>
      <c r="C9" s="176">
        <f t="shared" si="0"/>
        <v>39.94708994708995</v>
      </c>
      <c r="D9" s="171">
        <v>13</v>
      </c>
      <c r="E9" s="176">
        <f t="shared" si="1"/>
        <v>2.8761061946902653</v>
      </c>
      <c r="F9" s="171">
        <v>459</v>
      </c>
      <c r="G9" s="176">
        <f t="shared" si="2"/>
        <v>50.943396226415096</v>
      </c>
      <c r="H9" s="180">
        <v>283</v>
      </c>
      <c r="I9" s="176">
        <f t="shared" si="3"/>
        <v>52.407407407407405</v>
      </c>
    </row>
    <row r="10" spans="1:9" ht="16.149999999999999">
      <c r="A10" s="179" t="s">
        <v>556</v>
      </c>
      <c r="B10" s="171">
        <v>21</v>
      </c>
      <c r="C10" s="176">
        <f t="shared" si="0"/>
        <v>1.1111111111111112</v>
      </c>
      <c r="D10" s="171">
        <v>5</v>
      </c>
      <c r="E10" s="176">
        <f t="shared" si="1"/>
        <v>1.1061946902654867</v>
      </c>
      <c r="F10" s="171">
        <v>8</v>
      </c>
      <c r="G10" s="176">
        <f t="shared" si="2"/>
        <v>0.88790233074361824</v>
      </c>
      <c r="H10" s="180">
        <v>8</v>
      </c>
      <c r="I10" s="176">
        <f t="shared" si="3"/>
        <v>1.4814814814814816</v>
      </c>
    </row>
    <row r="11" spans="1:9" ht="16.149999999999999">
      <c r="A11" s="179" t="s">
        <v>557</v>
      </c>
      <c r="B11" s="171">
        <v>1220</v>
      </c>
      <c r="C11" s="176">
        <f>B11/$B$4*100</f>
        <v>64.550264550264544</v>
      </c>
      <c r="D11" s="171">
        <v>0</v>
      </c>
      <c r="E11" s="176">
        <f>D11/$D$4*100</f>
        <v>0</v>
      </c>
      <c r="F11" s="171">
        <v>738</v>
      </c>
      <c r="G11" s="176">
        <f>F11/$F$4*100</f>
        <v>81.90899001109878</v>
      </c>
      <c r="H11" s="180">
        <v>482</v>
      </c>
      <c r="I11" s="176">
        <f>H11/$H$4*100</f>
        <v>89.259259259259267</v>
      </c>
    </row>
    <row r="12" spans="1:9">
      <c r="A12" s="109" t="s">
        <v>537</v>
      </c>
      <c r="B12" s="102"/>
      <c r="C12" s="102"/>
      <c r="D12" s="102"/>
      <c r="E12" s="102"/>
      <c r="F12" s="102"/>
      <c r="G12" s="102"/>
      <c r="H12" s="102"/>
      <c r="I12" s="102"/>
    </row>
    <row r="15" spans="1:9">
      <c r="D15" s="390"/>
      <c r="E15" s="390"/>
      <c r="F15" s="390"/>
    </row>
    <row r="16" spans="1:9">
      <c r="D16" s="390"/>
      <c r="E16" s="390"/>
      <c r="F16" s="390"/>
    </row>
    <row r="17" spans="4:6">
      <c r="D17" s="390"/>
      <c r="E17" s="393"/>
      <c r="F17" s="390"/>
    </row>
    <row r="18" spans="4:6">
      <c r="D18" s="390"/>
      <c r="E18" s="390"/>
      <c r="F18" s="390"/>
    </row>
    <row r="19" spans="4:6">
      <c r="D19" s="390"/>
      <c r="E19" s="390"/>
      <c r="F19" s="390"/>
    </row>
    <row r="20" spans="4:6">
      <c r="D20" s="390"/>
      <c r="E20" s="390"/>
      <c r="F20" s="390"/>
    </row>
  </sheetData>
  <mergeCells count="6">
    <mergeCell ref="A1:I1"/>
    <mergeCell ref="A2:A3"/>
    <mergeCell ref="B2:C2"/>
    <mergeCell ref="D2:E2"/>
    <mergeCell ref="F2:G2"/>
    <mergeCell ref="H2:I2"/>
  </mergeCells>
  <pageMargins left="0.511811024" right="0.511811024" top="0.78740157499999996" bottom="0.78740157499999996" header="0.31496062000000002" footer="0.3149606200000000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0DDCA-44FD-4376-8194-62F06D582723}">
  <dimension ref="A1:C17"/>
  <sheetViews>
    <sheetView workbookViewId="0">
      <selection sqref="A1:C1"/>
    </sheetView>
  </sheetViews>
  <sheetFormatPr defaultRowHeight="14.45"/>
  <cols>
    <col min="1" max="1" width="43.28515625" customWidth="1"/>
    <col min="2" max="3" width="29.140625" customWidth="1"/>
  </cols>
  <sheetData>
    <row r="1" spans="1:3" ht="52.5" customHeight="1">
      <c r="A1" s="400" t="s">
        <v>558</v>
      </c>
      <c r="B1" s="400"/>
      <c r="C1" s="400"/>
    </row>
    <row r="2" spans="1:3" ht="16.149999999999999">
      <c r="A2" s="108" t="s">
        <v>559</v>
      </c>
      <c r="B2" s="181" t="s">
        <v>180</v>
      </c>
      <c r="C2" s="181" t="s">
        <v>184</v>
      </c>
    </row>
    <row r="3" spans="1:3" ht="16.149999999999999">
      <c r="A3" s="182" t="s">
        <v>180</v>
      </c>
      <c r="B3" s="183">
        <f>SUM(B4:B10)</f>
        <v>156096</v>
      </c>
      <c r="C3" s="229">
        <f>1*100</f>
        <v>100</v>
      </c>
    </row>
    <row r="4" spans="1:3" ht="16.149999999999999">
      <c r="A4" s="184" t="s">
        <v>546</v>
      </c>
      <c r="B4" s="232">
        <v>50898</v>
      </c>
      <c r="C4" s="230">
        <f t="shared" ref="C4:C10" si="0">B4/$B$3*100</f>
        <v>32.606857318573184</v>
      </c>
    </row>
    <row r="5" spans="1:3" ht="16.149999999999999">
      <c r="A5" s="184" t="s">
        <v>544</v>
      </c>
      <c r="B5" s="232">
        <v>46421</v>
      </c>
      <c r="C5" s="230">
        <f t="shared" si="0"/>
        <v>29.738750512505124</v>
      </c>
    </row>
    <row r="6" spans="1:3" ht="16.149999999999999">
      <c r="A6" s="184" t="s">
        <v>560</v>
      </c>
      <c r="B6" s="232">
        <v>36656</v>
      </c>
      <c r="C6" s="230">
        <f t="shared" si="0"/>
        <v>23.482984829848299</v>
      </c>
    </row>
    <row r="7" spans="1:3" ht="16.149999999999999">
      <c r="A7" s="184" t="s">
        <v>561</v>
      </c>
      <c r="B7" s="232">
        <v>11102</v>
      </c>
      <c r="C7" s="230">
        <f t="shared" si="0"/>
        <v>7.1122898728987289</v>
      </c>
    </row>
    <row r="8" spans="1:3" ht="16.149999999999999">
      <c r="A8" s="184" t="s">
        <v>547</v>
      </c>
      <c r="B8" s="232">
        <v>9420</v>
      </c>
      <c r="C8" s="230">
        <f t="shared" si="0"/>
        <v>6.0347478474784753</v>
      </c>
    </row>
    <row r="9" spans="1:3" ht="16.149999999999999">
      <c r="A9" s="184" t="s">
        <v>562</v>
      </c>
      <c r="B9" s="232">
        <v>1573</v>
      </c>
      <c r="C9" s="230">
        <f t="shared" si="0"/>
        <v>1.0077132021320214</v>
      </c>
    </row>
    <row r="10" spans="1:3" ht="16.149999999999999">
      <c r="A10" s="184" t="s">
        <v>563</v>
      </c>
      <c r="B10" s="232">
        <v>26</v>
      </c>
      <c r="C10" s="230">
        <f t="shared" si="0"/>
        <v>1.6656416564165642E-2</v>
      </c>
    </row>
    <row r="11" spans="1:3">
      <c r="A11" s="109" t="s">
        <v>564</v>
      </c>
      <c r="B11" s="109"/>
      <c r="C11" s="186"/>
    </row>
    <row r="12" spans="1:3">
      <c r="A12" s="109" t="s">
        <v>565</v>
      </c>
      <c r="B12" s="187"/>
      <c r="C12" s="188"/>
    </row>
    <row r="13" spans="1:3">
      <c r="A13" s="109" t="s">
        <v>566</v>
      </c>
    </row>
    <row r="17" spans="2:2">
      <c r="B17" s="146"/>
    </row>
  </sheetData>
  <mergeCells count="1">
    <mergeCell ref="A1:C1"/>
  </mergeCells>
  <pageMargins left="0.511811024" right="0.511811024" top="0.78740157499999996" bottom="0.78740157499999996" header="0.31496062000000002" footer="0.3149606200000000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EE1BC-A16D-48AE-ABED-DFCCF9D99CB5}">
  <dimension ref="A1:G17"/>
  <sheetViews>
    <sheetView workbookViewId="0">
      <selection sqref="A1:C1"/>
    </sheetView>
  </sheetViews>
  <sheetFormatPr defaultRowHeight="14.45"/>
  <cols>
    <col min="1" max="1" width="45.85546875" customWidth="1"/>
    <col min="2" max="2" width="20.140625" customWidth="1"/>
    <col min="3" max="3" width="29.7109375" customWidth="1"/>
    <col min="4" max="5" width="18.42578125" customWidth="1"/>
    <col min="6" max="6" width="19.42578125" customWidth="1"/>
    <col min="7" max="7" width="41.140625" bestFit="1" customWidth="1"/>
  </cols>
  <sheetData>
    <row r="1" spans="1:7" ht="48" customHeight="1">
      <c r="A1" s="434" t="s">
        <v>567</v>
      </c>
      <c r="B1" s="434"/>
      <c r="C1" s="434"/>
      <c r="D1" s="434"/>
      <c r="E1" s="434"/>
    </row>
    <row r="2" spans="1:7" ht="16.149999999999999">
      <c r="A2" s="473" t="s">
        <v>568</v>
      </c>
      <c r="B2" s="475" t="s">
        <v>180</v>
      </c>
      <c r="C2" s="477" t="s">
        <v>184</v>
      </c>
      <c r="D2" s="478"/>
      <c r="E2" s="479"/>
    </row>
    <row r="3" spans="1:7" ht="16.149999999999999">
      <c r="A3" s="474"/>
      <c r="B3" s="476"/>
      <c r="C3" s="480" t="s">
        <v>569</v>
      </c>
      <c r="D3" s="482" t="s">
        <v>190</v>
      </c>
      <c r="E3" s="483"/>
    </row>
    <row r="4" spans="1:7" ht="39" customHeight="1">
      <c r="A4" s="447"/>
      <c r="B4" s="476"/>
      <c r="C4" s="481"/>
      <c r="D4" s="202" t="s">
        <v>253</v>
      </c>
      <c r="E4" s="203" t="s">
        <v>199</v>
      </c>
    </row>
    <row r="5" spans="1:7" ht="16.149999999999999">
      <c r="A5" s="204" t="s">
        <v>180</v>
      </c>
      <c r="B5" s="318">
        <v>67589</v>
      </c>
      <c r="C5" s="319">
        <v>100</v>
      </c>
      <c r="D5" s="319">
        <v>100</v>
      </c>
      <c r="E5" s="319">
        <v>100</v>
      </c>
      <c r="F5" s="205"/>
      <c r="G5" s="205"/>
    </row>
    <row r="6" spans="1:7" ht="16.149999999999999">
      <c r="A6" s="206" t="s">
        <v>570</v>
      </c>
      <c r="B6" s="320">
        <v>18915</v>
      </c>
      <c r="C6" s="321">
        <v>28.4</v>
      </c>
      <c r="D6" s="321">
        <v>3.1</v>
      </c>
      <c r="E6" s="321">
        <v>36.5</v>
      </c>
      <c r="F6" s="205"/>
    </row>
    <row r="7" spans="1:7" ht="16.149999999999999">
      <c r="A7" s="206" t="s">
        <v>571</v>
      </c>
      <c r="B7" s="320">
        <v>15647</v>
      </c>
      <c r="C7" s="321">
        <v>23.5</v>
      </c>
      <c r="D7" s="321">
        <v>3.7</v>
      </c>
      <c r="E7" s="321">
        <v>30.5</v>
      </c>
      <c r="F7" s="205"/>
    </row>
    <row r="8" spans="1:7" ht="16.149999999999999">
      <c r="A8" s="206" t="s">
        <v>572</v>
      </c>
      <c r="B8" s="320">
        <v>12834</v>
      </c>
      <c r="C8" s="321">
        <v>19.3</v>
      </c>
      <c r="D8" s="321">
        <v>48.3</v>
      </c>
      <c r="E8" s="321">
        <v>15.3</v>
      </c>
      <c r="F8" s="205"/>
      <c r="G8" s="133"/>
    </row>
    <row r="9" spans="1:7" ht="16.149999999999999">
      <c r="A9" s="206" t="s">
        <v>262</v>
      </c>
      <c r="B9" s="320">
        <v>8976</v>
      </c>
      <c r="C9" s="321">
        <v>13.5</v>
      </c>
      <c r="D9" s="321">
        <v>17.5</v>
      </c>
      <c r="E9" s="321">
        <v>7.1</v>
      </c>
      <c r="F9" s="205"/>
    </row>
    <row r="10" spans="1:7" ht="16.149999999999999">
      <c r="A10" s="206" t="s">
        <v>573</v>
      </c>
      <c r="B10" s="320">
        <v>5395</v>
      </c>
      <c r="C10" s="321">
        <v>8.1</v>
      </c>
      <c r="D10" s="321">
        <v>18.600000000000001</v>
      </c>
      <c r="E10" s="321">
        <v>6.3</v>
      </c>
      <c r="F10" s="205"/>
    </row>
    <row r="11" spans="1:7" ht="16.149999999999999">
      <c r="A11" s="206" t="s">
        <v>574</v>
      </c>
      <c r="B11" s="320">
        <v>2380</v>
      </c>
      <c r="C11" s="321">
        <v>3.6</v>
      </c>
      <c r="D11" s="321">
        <v>4.4000000000000004</v>
      </c>
      <c r="E11" s="321">
        <v>2.9</v>
      </c>
      <c r="F11" s="205"/>
    </row>
    <row r="12" spans="1:7" ht="16.149999999999999">
      <c r="A12" s="206" t="s">
        <v>575</v>
      </c>
      <c r="B12" s="320">
        <v>2410</v>
      </c>
      <c r="C12" s="321">
        <v>3.6</v>
      </c>
      <c r="D12" s="321">
        <v>4.4000000000000004</v>
      </c>
      <c r="E12" s="321">
        <v>1.5</v>
      </c>
      <c r="F12" s="205"/>
    </row>
    <row r="13" spans="1:7" ht="16.149999999999999">
      <c r="A13" s="206" t="s">
        <v>536</v>
      </c>
      <c r="B13" s="320">
        <v>1032</v>
      </c>
      <c r="C13" s="321" t="s">
        <v>195</v>
      </c>
      <c r="D13" s="321" t="s">
        <v>195</v>
      </c>
      <c r="E13" s="321" t="s">
        <v>195</v>
      </c>
      <c r="F13" s="205"/>
    </row>
    <row r="14" spans="1:7">
      <c r="A14" s="109" t="s">
        <v>564</v>
      </c>
      <c r="B14" s="207"/>
      <c r="C14" s="186"/>
      <c r="D14" s="208"/>
      <c r="E14" s="208"/>
    </row>
    <row r="15" spans="1:7">
      <c r="A15" s="109" t="s">
        <v>576</v>
      </c>
      <c r="D15" s="317"/>
    </row>
    <row r="17" spans="2:2">
      <c r="B17" s="146"/>
    </row>
  </sheetData>
  <mergeCells count="6">
    <mergeCell ref="A1:E1"/>
    <mergeCell ref="A2:A4"/>
    <mergeCell ref="B2:B4"/>
    <mergeCell ref="C2:E2"/>
    <mergeCell ref="C3:C4"/>
    <mergeCell ref="D3:E3"/>
  </mergeCells>
  <pageMargins left="0.511811024" right="0.511811024" top="0.78740157499999996" bottom="0.78740157499999996" header="0.31496062000000002" footer="0.3149606200000000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45B96-68A1-4B4A-AF2A-C7B2FEE631C1}">
  <dimension ref="A1:C11"/>
  <sheetViews>
    <sheetView workbookViewId="0">
      <selection sqref="A1:C1"/>
    </sheetView>
  </sheetViews>
  <sheetFormatPr defaultRowHeight="14.45"/>
  <cols>
    <col min="1" max="1" width="30.5703125" customWidth="1"/>
    <col min="2" max="2" width="26.28515625" customWidth="1"/>
    <col min="3" max="3" width="27.28515625" customWidth="1"/>
  </cols>
  <sheetData>
    <row r="1" spans="1:3" ht="36" customHeight="1">
      <c r="A1" s="419" t="s">
        <v>577</v>
      </c>
      <c r="B1" s="419"/>
      <c r="C1" s="419"/>
    </row>
    <row r="2" spans="1:3" ht="16.149999999999999">
      <c r="A2" s="160" t="s">
        <v>201</v>
      </c>
      <c r="B2" s="209" t="s">
        <v>180</v>
      </c>
      <c r="C2" s="210" t="s">
        <v>184</v>
      </c>
    </row>
    <row r="3" spans="1:3" ht="16.149999999999999">
      <c r="A3" s="204" t="s">
        <v>180</v>
      </c>
      <c r="B3" s="183">
        <v>67589</v>
      </c>
      <c r="C3" s="229">
        <v>100</v>
      </c>
    </row>
    <row r="4" spans="1:3" ht="16.149999999999999">
      <c r="A4" s="206" t="s">
        <v>202</v>
      </c>
      <c r="B4" s="232">
        <v>24926</v>
      </c>
      <c r="C4" s="230">
        <v>40.020000000000003</v>
      </c>
    </row>
    <row r="5" spans="1:3" ht="16.149999999999999">
      <c r="A5" s="206" t="s">
        <v>203</v>
      </c>
      <c r="B5" s="232">
        <v>8667</v>
      </c>
      <c r="C5" s="230">
        <v>13.91</v>
      </c>
    </row>
    <row r="6" spans="1:3" ht="16.149999999999999">
      <c r="A6" s="206" t="s">
        <v>205</v>
      </c>
      <c r="B6" s="232">
        <v>28074</v>
      </c>
      <c r="C6" s="230">
        <v>45.07</v>
      </c>
    </row>
    <row r="7" spans="1:3" ht="16.149999999999999">
      <c r="A7" s="206" t="s">
        <v>204</v>
      </c>
      <c r="B7" s="232">
        <v>341</v>
      </c>
      <c r="C7" s="230">
        <v>0.55000000000000004</v>
      </c>
    </row>
    <row r="8" spans="1:3" ht="16.149999999999999">
      <c r="A8" s="206" t="s">
        <v>206</v>
      </c>
      <c r="B8" s="232">
        <v>279</v>
      </c>
      <c r="C8" s="230">
        <v>0.45</v>
      </c>
    </row>
    <row r="9" spans="1:3" ht="16.149999999999999">
      <c r="A9" s="206" t="s">
        <v>536</v>
      </c>
      <c r="B9" s="232">
        <v>5302</v>
      </c>
      <c r="C9" s="231" t="s">
        <v>195</v>
      </c>
    </row>
    <row r="10" spans="1:3">
      <c r="A10" s="109" t="s">
        <v>564</v>
      </c>
      <c r="B10" s="109"/>
      <c r="C10" s="186"/>
    </row>
    <row r="11" spans="1:3">
      <c r="A11" s="109" t="s">
        <v>576</v>
      </c>
    </row>
  </sheetData>
  <mergeCells count="1">
    <mergeCell ref="A1:C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8B7D8-AA2D-4F38-8D26-9451C70DAF9F}">
  <dimension ref="A1:C14"/>
  <sheetViews>
    <sheetView workbookViewId="0">
      <selection sqref="A1:C1"/>
    </sheetView>
  </sheetViews>
  <sheetFormatPr defaultRowHeight="14.45"/>
  <cols>
    <col min="1" max="1" width="29.42578125" customWidth="1"/>
    <col min="2" max="3" width="25.7109375" customWidth="1"/>
  </cols>
  <sheetData>
    <row r="1" spans="1:3" ht="58.5" customHeight="1">
      <c r="A1" s="403" t="s">
        <v>183</v>
      </c>
      <c r="B1" s="403"/>
      <c r="C1" s="403"/>
    </row>
    <row r="2" spans="1:3" ht="16.149999999999999" customHeight="1">
      <c r="A2" s="402" t="s">
        <v>162</v>
      </c>
      <c r="B2" s="402" t="s">
        <v>180</v>
      </c>
      <c r="C2" s="406" t="s">
        <v>184</v>
      </c>
    </row>
    <row r="3" spans="1:3" ht="16.149999999999999" customHeight="1">
      <c r="A3" s="402"/>
      <c r="B3" s="402"/>
      <c r="C3" s="407"/>
    </row>
    <row r="4" spans="1:3" ht="16.149999999999999">
      <c r="A4" s="16" t="s">
        <v>163</v>
      </c>
      <c r="B4" s="17">
        <v>302856</v>
      </c>
      <c r="C4" s="18">
        <v>100</v>
      </c>
    </row>
    <row r="5" spans="1:3" ht="16.149999999999999">
      <c r="A5" s="19" t="s">
        <v>164</v>
      </c>
      <c r="B5" s="20">
        <v>21793</v>
      </c>
      <c r="C5" s="21">
        <f>B5*100/B4</f>
        <v>7.1958290408643055</v>
      </c>
    </row>
    <row r="6" spans="1:3" ht="16.149999999999999">
      <c r="A6" s="19" t="s">
        <v>165</v>
      </c>
      <c r="B6" s="22">
        <v>56829</v>
      </c>
      <c r="C6" s="23">
        <f>B6*100/B4</f>
        <v>18.764363261748159</v>
      </c>
    </row>
    <row r="7" spans="1:3" ht="16.149999999999999">
      <c r="A7" s="19" t="s">
        <v>166</v>
      </c>
      <c r="B7" s="22">
        <v>152011</v>
      </c>
      <c r="C7" s="23">
        <f>B7*100/B4</f>
        <v>50.192500726417833</v>
      </c>
    </row>
    <row r="8" spans="1:3" ht="16.149999999999999">
      <c r="A8" s="19" t="s">
        <v>185</v>
      </c>
      <c r="B8" s="20">
        <v>50436</v>
      </c>
      <c r="C8" s="21">
        <f>B8*100/B4</f>
        <v>16.653459069656865</v>
      </c>
    </row>
    <row r="9" spans="1:3" ht="16.149999999999999">
      <c r="A9" s="19" t="s">
        <v>168</v>
      </c>
      <c r="B9" s="20">
        <v>21787</v>
      </c>
      <c r="C9" s="21">
        <f>B9*100/B4</f>
        <v>7.1938479013128349</v>
      </c>
    </row>
    <row r="10" spans="1:3" ht="16.149999999999999" customHeight="1">
      <c r="A10" s="24" t="s">
        <v>186</v>
      </c>
      <c r="B10" s="25"/>
      <c r="C10" s="25"/>
    </row>
    <row r="11" spans="1:3" ht="14.45" customHeight="1">
      <c r="A11" s="8" t="s">
        <v>187</v>
      </c>
      <c r="B11" s="8"/>
      <c r="C11" s="8"/>
    </row>
    <row r="12" spans="1:3" ht="68.45" customHeight="1">
      <c r="A12" s="404" t="s">
        <v>182</v>
      </c>
      <c r="B12" s="405"/>
      <c r="C12" s="405"/>
    </row>
    <row r="13" spans="1:3" ht="16.149999999999999" customHeight="1">
      <c r="A13" s="26" t="s">
        <v>188</v>
      </c>
      <c r="B13" s="27"/>
      <c r="C13" s="25"/>
    </row>
    <row r="14" spans="1:3" ht="14.45" customHeight="1"/>
  </sheetData>
  <mergeCells count="5">
    <mergeCell ref="A2:A3"/>
    <mergeCell ref="B2:B3"/>
    <mergeCell ref="A1:C1"/>
    <mergeCell ref="A12:C12"/>
    <mergeCell ref="C2:C3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3FF98-F618-4E87-91CD-2D3D5A0E5785}">
  <dimension ref="A1:C9"/>
  <sheetViews>
    <sheetView workbookViewId="0">
      <selection sqref="A1:C1"/>
    </sheetView>
  </sheetViews>
  <sheetFormatPr defaultRowHeight="14.45"/>
  <cols>
    <col min="1" max="1" width="30.140625" customWidth="1"/>
    <col min="2" max="2" width="29.5703125" customWidth="1"/>
    <col min="3" max="3" width="31" customWidth="1"/>
  </cols>
  <sheetData>
    <row r="1" spans="1:3" ht="55.5" customHeight="1">
      <c r="A1" s="419" t="s">
        <v>578</v>
      </c>
      <c r="B1" s="419"/>
      <c r="C1" s="419"/>
    </row>
    <row r="2" spans="1:3" ht="16.149999999999999">
      <c r="A2" s="160" t="s">
        <v>579</v>
      </c>
      <c r="B2" s="209" t="s">
        <v>219</v>
      </c>
      <c r="C2" s="209" t="s">
        <v>184</v>
      </c>
    </row>
    <row r="3" spans="1:3" ht="16.149999999999999">
      <c r="A3" s="204" t="s">
        <v>180</v>
      </c>
      <c r="B3" s="183">
        <v>67589</v>
      </c>
      <c r="C3" s="229">
        <v>100</v>
      </c>
    </row>
    <row r="4" spans="1:3" ht="16.149999999999999">
      <c r="A4" s="206" t="s">
        <v>436</v>
      </c>
      <c r="B4" s="232">
        <v>8877</v>
      </c>
      <c r="C4" s="230">
        <v>13.17</v>
      </c>
    </row>
    <row r="5" spans="1:3" ht="16.149999999999999">
      <c r="A5" s="206" t="s">
        <v>580</v>
      </c>
      <c r="B5" s="232">
        <v>28580</v>
      </c>
      <c r="C5" s="230">
        <v>42.41</v>
      </c>
    </row>
    <row r="6" spans="1:3" ht="16.149999999999999">
      <c r="A6" s="206" t="s">
        <v>581</v>
      </c>
      <c r="B6" s="232">
        <v>29936</v>
      </c>
      <c r="C6" s="230">
        <v>44.42</v>
      </c>
    </row>
    <row r="7" spans="1:3" ht="16.149999999999999">
      <c r="A7" s="206" t="s">
        <v>536</v>
      </c>
      <c r="B7" s="185">
        <v>196</v>
      </c>
      <c r="C7" s="233" t="s">
        <v>195</v>
      </c>
    </row>
    <row r="8" spans="1:3">
      <c r="A8" s="109" t="s">
        <v>564</v>
      </c>
      <c r="B8" s="109"/>
      <c r="C8" s="186"/>
    </row>
    <row r="9" spans="1:3">
      <c r="A9" s="109" t="s">
        <v>576</v>
      </c>
      <c r="C9" s="133"/>
    </row>
  </sheetData>
  <mergeCells count="1">
    <mergeCell ref="A1:C1"/>
  </mergeCells>
  <pageMargins left="0.511811024" right="0.511811024" top="0.78740157499999996" bottom="0.78740157499999996" header="0.31496062000000002" footer="0.3149606200000000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C2496-4805-4F2B-B1DA-1DCCC0613DED}">
  <dimension ref="A1:E16"/>
  <sheetViews>
    <sheetView workbookViewId="0">
      <selection sqref="A1:C1"/>
    </sheetView>
  </sheetViews>
  <sheetFormatPr defaultRowHeight="14.45"/>
  <cols>
    <col min="1" max="1" width="47.28515625" customWidth="1"/>
    <col min="2" max="2" width="25.7109375" customWidth="1"/>
    <col min="3" max="3" width="27.85546875" customWidth="1"/>
    <col min="5" max="5" width="10.42578125" bestFit="1" customWidth="1"/>
  </cols>
  <sheetData>
    <row r="1" spans="1:5" ht="45" customHeight="1">
      <c r="A1" s="419" t="s">
        <v>582</v>
      </c>
      <c r="B1" s="419"/>
      <c r="C1" s="419"/>
    </row>
    <row r="2" spans="1:5" ht="16.149999999999999">
      <c r="A2" s="160" t="s">
        <v>448</v>
      </c>
      <c r="B2" s="209" t="s">
        <v>180</v>
      </c>
      <c r="C2" s="209" t="s">
        <v>184</v>
      </c>
    </row>
    <row r="3" spans="1:5" ht="16.149999999999999">
      <c r="A3" s="211" t="s">
        <v>219</v>
      </c>
      <c r="B3" s="212">
        <v>67589</v>
      </c>
      <c r="C3" s="322">
        <v>100</v>
      </c>
      <c r="E3" s="133"/>
    </row>
    <row r="4" spans="1:5" ht="16.149999999999999">
      <c r="A4" s="213" t="s">
        <v>583</v>
      </c>
      <c r="B4" s="117">
        <v>868</v>
      </c>
      <c r="C4" s="323">
        <v>1.284232641406146</v>
      </c>
      <c r="E4" s="133"/>
    </row>
    <row r="5" spans="1:5" ht="16.149999999999999">
      <c r="A5" s="213" t="s">
        <v>584</v>
      </c>
      <c r="B5" s="117">
        <v>3230</v>
      </c>
      <c r="C5" s="323">
        <v>4.778884137951442</v>
      </c>
      <c r="E5" s="133"/>
    </row>
    <row r="6" spans="1:5" ht="16.149999999999999">
      <c r="A6" s="213" t="s">
        <v>585</v>
      </c>
      <c r="B6" s="117">
        <v>1096</v>
      </c>
      <c r="C6" s="323">
        <v>1.6215656393791891</v>
      </c>
      <c r="E6" s="133"/>
    </row>
    <row r="7" spans="1:5" ht="16.149999999999999">
      <c r="A7" s="213" t="s">
        <v>586</v>
      </c>
      <c r="B7" s="117">
        <v>1694</v>
      </c>
      <c r="C7" s="323">
        <v>2.5063249937119947</v>
      </c>
      <c r="E7" s="133"/>
    </row>
    <row r="8" spans="1:5" ht="16.149999999999999">
      <c r="A8" s="213" t="s">
        <v>587</v>
      </c>
      <c r="B8" s="117">
        <v>7085</v>
      </c>
      <c r="C8" s="323">
        <v>10.482474958943024</v>
      </c>
      <c r="E8" s="133"/>
    </row>
    <row r="9" spans="1:5" ht="16.149999999999999">
      <c r="A9" s="213" t="s">
        <v>588</v>
      </c>
      <c r="B9" s="117">
        <v>0</v>
      </c>
      <c r="C9" s="323">
        <v>0</v>
      </c>
      <c r="E9" s="133"/>
    </row>
    <row r="10" spans="1:5" ht="16.149999999999999">
      <c r="A10" s="213" t="s">
        <v>589</v>
      </c>
      <c r="B10" s="117">
        <v>1527</v>
      </c>
      <c r="C10" s="323">
        <v>2.2592433680036694</v>
      </c>
      <c r="E10" s="133"/>
    </row>
    <row r="11" spans="1:5" ht="16.149999999999999">
      <c r="A11" s="213" t="s">
        <v>590</v>
      </c>
      <c r="B11" s="117">
        <v>2118</v>
      </c>
      <c r="C11" s="323">
        <v>3.133646007486425</v>
      </c>
      <c r="E11" s="133"/>
    </row>
    <row r="12" spans="1:5" ht="16.149999999999999">
      <c r="A12" s="206" t="s">
        <v>591</v>
      </c>
      <c r="B12" s="117">
        <v>446</v>
      </c>
      <c r="C12" s="323">
        <v>0.65987068901744372</v>
      </c>
      <c r="E12" s="133"/>
    </row>
    <row r="13" spans="1:5" ht="16.149999999999999">
      <c r="A13" s="206" t="s">
        <v>536</v>
      </c>
      <c r="B13" s="117">
        <v>49424</v>
      </c>
      <c r="C13" s="323">
        <v>73.124324964121385</v>
      </c>
      <c r="E13" s="133"/>
    </row>
    <row r="14" spans="1:5" ht="16.149999999999999">
      <c r="A14" s="206" t="s">
        <v>262</v>
      </c>
      <c r="B14" s="117">
        <v>101</v>
      </c>
      <c r="C14" s="323">
        <v>0.14943259997928657</v>
      </c>
      <c r="E14" s="133"/>
    </row>
    <row r="15" spans="1:5">
      <c r="A15" s="109" t="s">
        <v>564</v>
      </c>
      <c r="B15" s="208"/>
      <c r="C15" s="186"/>
    </row>
    <row r="16" spans="1:5">
      <c r="A16" s="109" t="s">
        <v>576</v>
      </c>
    </row>
  </sheetData>
  <mergeCells count="1">
    <mergeCell ref="A1:C1"/>
  </mergeCells>
  <pageMargins left="0.511811024" right="0.511811024" top="0.78740157499999996" bottom="0.78740157499999996" header="0.31496062000000002" footer="0.3149606200000000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2879D-3D5F-4CD1-80C0-0DE99215F6C0}">
  <dimension ref="A1:C15"/>
  <sheetViews>
    <sheetView workbookViewId="0">
      <selection sqref="A1:C1"/>
    </sheetView>
  </sheetViews>
  <sheetFormatPr defaultRowHeight="14.45"/>
  <cols>
    <col min="1" max="1" width="40.28515625" customWidth="1"/>
    <col min="2" max="3" width="27.140625" customWidth="1"/>
  </cols>
  <sheetData>
    <row r="1" spans="1:3" ht="60" customHeight="1">
      <c r="A1" s="484" t="s">
        <v>592</v>
      </c>
      <c r="B1" s="484"/>
      <c r="C1" s="484"/>
    </row>
    <row r="2" spans="1:3" ht="16.149999999999999">
      <c r="A2" s="328" t="s">
        <v>162</v>
      </c>
      <c r="B2" s="328" t="s">
        <v>180</v>
      </c>
      <c r="C2" s="328" t="s">
        <v>184</v>
      </c>
    </row>
    <row r="3" spans="1:3" ht="16.149999999999999">
      <c r="A3" s="325" t="s">
        <v>163</v>
      </c>
      <c r="B3" s="326">
        <v>67589</v>
      </c>
      <c r="C3" s="327">
        <v>100</v>
      </c>
    </row>
    <row r="4" spans="1:3" ht="16.149999999999999">
      <c r="A4" s="216" t="s">
        <v>593</v>
      </c>
      <c r="B4" s="324">
        <v>3718</v>
      </c>
      <c r="C4" s="237">
        <v>5.62</v>
      </c>
    </row>
    <row r="5" spans="1:3" ht="16.149999999999999">
      <c r="A5" s="216" t="s">
        <v>165</v>
      </c>
      <c r="B5" s="324">
        <v>14059</v>
      </c>
      <c r="C5" s="237">
        <v>21.25</v>
      </c>
    </row>
    <row r="6" spans="1:3" ht="16.149999999999999">
      <c r="A6" s="216" t="s">
        <v>166</v>
      </c>
      <c r="B6" s="324">
        <v>35080</v>
      </c>
      <c r="C6" s="237">
        <v>53.02</v>
      </c>
    </row>
    <row r="7" spans="1:3" ht="16.149999999999999">
      <c r="A7" s="216" t="s">
        <v>185</v>
      </c>
      <c r="B7" s="324">
        <v>7587</v>
      </c>
      <c r="C7" s="237">
        <v>11.47</v>
      </c>
    </row>
    <row r="8" spans="1:3" ht="16.149999999999999">
      <c r="A8" s="333" t="s">
        <v>168</v>
      </c>
      <c r="B8" s="324">
        <v>5720</v>
      </c>
      <c r="C8" s="237">
        <v>8.65</v>
      </c>
    </row>
    <row r="9" spans="1:3" ht="16.149999999999999">
      <c r="A9" s="357" t="s">
        <v>482</v>
      </c>
      <c r="B9" s="332">
        <v>1425</v>
      </c>
      <c r="C9" s="238" t="s">
        <v>195</v>
      </c>
    </row>
    <row r="10" spans="1:3" ht="16.149999999999999">
      <c r="A10" s="109" t="s">
        <v>564</v>
      </c>
      <c r="B10" s="217"/>
      <c r="C10" s="217"/>
    </row>
    <row r="11" spans="1:3">
      <c r="A11" s="109" t="s">
        <v>576</v>
      </c>
    </row>
    <row r="15" spans="1:3">
      <c r="C15" s="146"/>
    </row>
  </sheetData>
  <mergeCells count="1">
    <mergeCell ref="A1:C1"/>
  </mergeCells>
  <pageMargins left="0.511811024" right="0.511811024" top="0.78740157499999996" bottom="0.78740157499999996" header="0.31496062000000002" footer="0.3149606200000000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CD692-0C36-41EC-852E-3DFFC8CC02E0}">
  <dimension ref="A1:C11"/>
  <sheetViews>
    <sheetView workbookViewId="0">
      <selection sqref="A1:C1"/>
    </sheetView>
  </sheetViews>
  <sheetFormatPr defaultRowHeight="14.45"/>
  <cols>
    <col min="1" max="1" width="27" customWidth="1"/>
    <col min="2" max="3" width="24.7109375" customWidth="1"/>
  </cols>
  <sheetData>
    <row r="1" spans="1:3" ht="60.75" customHeight="1">
      <c r="A1" s="485" t="s">
        <v>594</v>
      </c>
      <c r="B1" s="486"/>
      <c r="C1" s="487"/>
    </row>
    <row r="2" spans="1:3" ht="16.149999999999999">
      <c r="A2" s="215" t="s">
        <v>162</v>
      </c>
      <c r="B2" s="215" t="s">
        <v>180</v>
      </c>
      <c r="C2" s="215" t="s">
        <v>184</v>
      </c>
    </row>
    <row r="3" spans="1:3" ht="16.149999999999999">
      <c r="A3" s="214" t="s">
        <v>163</v>
      </c>
      <c r="B3" s="218">
        <v>322207</v>
      </c>
      <c r="C3" s="234">
        <v>100</v>
      </c>
    </row>
    <row r="4" spans="1:3" ht="16.149999999999999">
      <c r="A4" s="216" t="s">
        <v>593</v>
      </c>
      <c r="B4" s="240">
        <v>21391</v>
      </c>
      <c r="C4" s="237">
        <v>6.67</v>
      </c>
    </row>
    <row r="5" spans="1:3" ht="16.149999999999999">
      <c r="A5" s="216" t="s">
        <v>165</v>
      </c>
      <c r="B5" s="240">
        <v>80335</v>
      </c>
      <c r="C5" s="237">
        <v>25.05</v>
      </c>
    </row>
    <row r="6" spans="1:3" ht="16.149999999999999">
      <c r="A6" s="216" t="s">
        <v>166</v>
      </c>
      <c r="B6" s="240">
        <v>160415</v>
      </c>
      <c r="C6" s="237">
        <v>50.02</v>
      </c>
    </row>
    <row r="7" spans="1:3" ht="16.149999999999999">
      <c r="A7" s="216" t="s">
        <v>185</v>
      </c>
      <c r="B7" s="240">
        <v>30533</v>
      </c>
      <c r="C7" s="237">
        <v>9.52</v>
      </c>
    </row>
    <row r="8" spans="1:3" ht="16.149999999999999">
      <c r="A8" s="216" t="s">
        <v>168</v>
      </c>
      <c r="B8" s="240">
        <v>28015</v>
      </c>
      <c r="C8" s="237">
        <v>8.74</v>
      </c>
    </row>
    <row r="9" spans="1:3" ht="16.149999999999999">
      <c r="A9" s="216" t="s">
        <v>536</v>
      </c>
      <c r="B9" s="240">
        <v>1518</v>
      </c>
      <c r="C9" s="238" t="s">
        <v>195</v>
      </c>
    </row>
    <row r="10" spans="1:3" ht="16.149999999999999">
      <c r="A10" s="109" t="s">
        <v>564</v>
      </c>
      <c r="B10" s="217"/>
      <c r="C10" s="217"/>
    </row>
    <row r="11" spans="1:3">
      <c r="A11" s="109" t="s">
        <v>595</v>
      </c>
    </row>
  </sheetData>
  <mergeCells count="1">
    <mergeCell ref="A1:C1"/>
  </mergeCells>
  <pageMargins left="0.511811024" right="0.511811024" top="0.78740157499999996" bottom="0.78740157499999996" header="0.31496062000000002" footer="0.3149606200000000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E996E-BDF2-4F0F-84F7-91B3D0E723E9}">
  <dimension ref="A1:C9"/>
  <sheetViews>
    <sheetView workbookViewId="0">
      <selection sqref="A1:C1"/>
    </sheetView>
  </sheetViews>
  <sheetFormatPr defaultRowHeight="14.45"/>
  <cols>
    <col min="1" max="1" width="50.42578125" bestFit="1" customWidth="1"/>
    <col min="2" max="3" width="27.85546875" customWidth="1"/>
  </cols>
  <sheetData>
    <row r="1" spans="1:3" ht="47.45" customHeight="1">
      <c r="A1" s="485" t="s">
        <v>596</v>
      </c>
      <c r="B1" s="486"/>
      <c r="C1" s="487"/>
    </row>
    <row r="2" spans="1:3" ht="16.149999999999999">
      <c r="A2" s="115" t="s">
        <v>597</v>
      </c>
      <c r="B2" s="115" t="s">
        <v>180</v>
      </c>
      <c r="C2" s="115" t="s">
        <v>184</v>
      </c>
    </row>
    <row r="3" spans="1:3" ht="16.149999999999999">
      <c r="A3" s="104" t="s">
        <v>180</v>
      </c>
      <c r="B3" s="196">
        <v>50898</v>
      </c>
      <c r="C3" s="236">
        <f>1*100</f>
        <v>100</v>
      </c>
    </row>
    <row r="4" spans="1:3" ht="16.149999999999999">
      <c r="A4" s="107" t="s">
        <v>598</v>
      </c>
      <c r="B4" s="117">
        <v>37893</v>
      </c>
      <c r="C4" s="235">
        <f>B4/$B$3*100</f>
        <v>74.448897795591179</v>
      </c>
    </row>
    <row r="5" spans="1:3" ht="16.149999999999999">
      <c r="A5" s="107" t="s">
        <v>599</v>
      </c>
      <c r="B5" s="117">
        <v>2241</v>
      </c>
      <c r="C5" s="235">
        <f>B5/$B$3*100</f>
        <v>4.4029234940469175</v>
      </c>
    </row>
    <row r="6" spans="1:3" ht="16.149999999999999">
      <c r="A6" s="107" t="s">
        <v>600</v>
      </c>
      <c r="B6" s="117">
        <v>0</v>
      </c>
      <c r="C6" s="235">
        <f>B6/$B$3*100</f>
        <v>0</v>
      </c>
    </row>
    <row r="7" spans="1:3" ht="16.149999999999999">
      <c r="A7" s="107" t="s">
        <v>601</v>
      </c>
      <c r="B7" s="117">
        <v>3240</v>
      </c>
      <c r="C7" s="235">
        <f>B7/$B$3*100</f>
        <v>6.3656725215136154</v>
      </c>
    </row>
    <row r="8" spans="1:3" ht="16.149999999999999">
      <c r="A8" s="107" t="s">
        <v>557</v>
      </c>
      <c r="B8" s="117">
        <v>7524</v>
      </c>
      <c r="C8" s="235">
        <f>B8/$B$3*100</f>
        <v>14.782506188848284</v>
      </c>
    </row>
    <row r="9" spans="1:3" ht="16.149999999999999">
      <c r="A9" s="109" t="s">
        <v>564</v>
      </c>
      <c r="B9" s="217"/>
      <c r="C9" s="217"/>
    </row>
  </sheetData>
  <mergeCells count="1">
    <mergeCell ref="A1:C1"/>
  </mergeCells>
  <pageMargins left="0.511811024" right="0.511811024" top="0.78740157499999996" bottom="0.78740157499999996" header="0.31496062000000002" footer="0.3149606200000000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66274-0E30-47EC-9D86-84DCF4172A4F}">
  <dimension ref="A1:C8"/>
  <sheetViews>
    <sheetView workbookViewId="0">
      <selection sqref="A1:C1"/>
    </sheetView>
  </sheetViews>
  <sheetFormatPr defaultRowHeight="14.45"/>
  <cols>
    <col min="1" max="1" width="38.7109375" customWidth="1"/>
    <col min="2" max="3" width="29.28515625" customWidth="1"/>
  </cols>
  <sheetData>
    <row r="1" spans="1:3" ht="64.150000000000006" customHeight="1">
      <c r="A1" s="485" t="s">
        <v>602</v>
      </c>
      <c r="B1" s="486"/>
      <c r="C1" s="487"/>
    </row>
    <row r="2" spans="1:3" ht="16.149999999999999">
      <c r="A2" s="115" t="s">
        <v>603</v>
      </c>
      <c r="B2" s="115" t="s">
        <v>219</v>
      </c>
      <c r="C2" s="115" t="s">
        <v>184</v>
      </c>
    </row>
    <row r="3" spans="1:3" ht="16.149999999999999">
      <c r="A3" s="104" t="s">
        <v>180</v>
      </c>
      <c r="B3" s="196">
        <v>9420</v>
      </c>
      <c r="C3" s="105">
        <v>100</v>
      </c>
    </row>
    <row r="4" spans="1:3" ht="16.149999999999999">
      <c r="A4" s="107" t="s">
        <v>604</v>
      </c>
      <c r="B4" s="117">
        <v>2694</v>
      </c>
      <c r="C4" s="235">
        <f>B4/$B$3*100</f>
        <v>28.598726114649679</v>
      </c>
    </row>
    <row r="5" spans="1:3" ht="16.149999999999999">
      <c r="A5" s="107" t="s">
        <v>605</v>
      </c>
      <c r="B5" s="117">
        <v>209</v>
      </c>
      <c r="C5" s="235">
        <f>B5/$B$3*100</f>
        <v>2.2186836518046706</v>
      </c>
    </row>
    <row r="6" spans="1:3" ht="16.149999999999999">
      <c r="A6" s="107" t="s">
        <v>606</v>
      </c>
      <c r="B6" s="117">
        <v>1196</v>
      </c>
      <c r="C6" s="235">
        <f>B6/$B$3*100</f>
        <v>12.696390658174098</v>
      </c>
    </row>
    <row r="7" spans="1:3" ht="16.149999999999999">
      <c r="A7" s="107" t="s">
        <v>607</v>
      </c>
      <c r="B7" s="117">
        <v>5321</v>
      </c>
      <c r="C7" s="235">
        <f>B7/$B$3*100</f>
        <v>56.486199575371558</v>
      </c>
    </row>
    <row r="8" spans="1:3" ht="16.149999999999999">
      <c r="A8" s="109" t="s">
        <v>564</v>
      </c>
      <c r="B8" s="217"/>
      <c r="C8" s="217"/>
    </row>
  </sheetData>
  <mergeCells count="1">
    <mergeCell ref="A1:C1"/>
  </mergeCells>
  <pageMargins left="0.511811024" right="0.511811024" top="0.78740157499999996" bottom="0.78740157499999996" header="0.31496062000000002" footer="0.3149606200000000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9977A-702F-4B22-899E-7B694D41D572}">
  <dimension ref="A1:C7"/>
  <sheetViews>
    <sheetView workbookViewId="0">
      <selection activeCell="C21" sqref="C21"/>
    </sheetView>
  </sheetViews>
  <sheetFormatPr defaultRowHeight="14.45"/>
  <cols>
    <col min="1" max="1" width="34.42578125" customWidth="1"/>
    <col min="2" max="3" width="27.42578125" customWidth="1"/>
  </cols>
  <sheetData>
    <row r="1" spans="1:3" ht="56.25" customHeight="1">
      <c r="A1" s="424" t="s">
        <v>608</v>
      </c>
      <c r="B1" s="400"/>
      <c r="C1" s="400"/>
    </row>
    <row r="2" spans="1:3" ht="16.149999999999999">
      <c r="A2" s="115" t="s">
        <v>609</v>
      </c>
      <c r="B2" s="115" t="s">
        <v>180</v>
      </c>
      <c r="C2" s="115" t="s">
        <v>184</v>
      </c>
    </row>
    <row r="3" spans="1:3" ht="16.149999999999999">
      <c r="A3" s="104" t="s">
        <v>180</v>
      </c>
      <c r="B3" s="196">
        <f>SUM(B4:B6)</f>
        <v>36656</v>
      </c>
      <c r="C3" s="236">
        <f>1*100</f>
        <v>100</v>
      </c>
    </row>
    <row r="4" spans="1:3" ht="16.149999999999999">
      <c r="A4" s="107" t="s">
        <v>610</v>
      </c>
      <c r="B4" s="117">
        <v>6274</v>
      </c>
      <c r="C4" s="235">
        <f>B4/$B$3*100</f>
        <v>17.115888258402446</v>
      </c>
    </row>
    <row r="5" spans="1:3" ht="16.149999999999999">
      <c r="A5" s="107" t="s">
        <v>611</v>
      </c>
      <c r="B5" s="117">
        <v>10964</v>
      </c>
      <c r="C5" s="235">
        <f>B5/$B$3*100</f>
        <v>29.910519423832387</v>
      </c>
    </row>
    <row r="6" spans="1:3" ht="16.149999999999999">
      <c r="A6" s="107" t="s">
        <v>612</v>
      </c>
      <c r="B6" s="117">
        <v>19418</v>
      </c>
      <c r="C6" s="235">
        <f>B6/$B$3*100</f>
        <v>52.973592317765174</v>
      </c>
    </row>
    <row r="7" spans="1:3" ht="16.149999999999999">
      <c r="A7" s="109" t="s">
        <v>564</v>
      </c>
      <c r="B7" s="217"/>
      <c r="C7" s="217"/>
    </row>
  </sheetData>
  <mergeCells count="1">
    <mergeCell ref="A1:C1"/>
  </mergeCells>
  <pageMargins left="0.511811024" right="0.511811024" top="0.78740157499999996" bottom="0.78740157499999996" header="0.31496062000000002" footer="0.3149606200000000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6B1C7-1E39-43FA-A28E-1BA3D4B8C81D}">
  <dimension ref="A1:J13"/>
  <sheetViews>
    <sheetView workbookViewId="0">
      <selection activeCell="I3" sqref="I3:L8"/>
    </sheetView>
  </sheetViews>
  <sheetFormatPr defaultRowHeight="14.45"/>
  <cols>
    <col min="1" max="1" width="103.42578125" customWidth="1"/>
    <col min="2" max="6" width="11.42578125" customWidth="1"/>
    <col min="7" max="7" width="22.5703125" customWidth="1"/>
  </cols>
  <sheetData>
    <row r="1" spans="1:10" ht="31.15" customHeight="1">
      <c r="A1" s="488" t="s">
        <v>613</v>
      </c>
      <c r="B1" s="489"/>
      <c r="C1" s="489"/>
      <c r="D1" s="489"/>
      <c r="E1" s="489"/>
      <c r="F1" s="489"/>
      <c r="G1" s="489"/>
    </row>
    <row r="2" spans="1:10" ht="16.149999999999999">
      <c r="A2" s="168" t="s">
        <v>614</v>
      </c>
      <c r="B2" s="168" t="s">
        <v>163</v>
      </c>
      <c r="C2" s="168" t="s">
        <v>164</v>
      </c>
      <c r="D2" s="168" t="s">
        <v>165</v>
      </c>
      <c r="E2" s="168" t="s">
        <v>166</v>
      </c>
      <c r="F2" s="168" t="s">
        <v>185</v>
      </c>
      <c r="G2" s="334" t="s">
        <v>168</v>
      </c>
    </row>
    <row r="3" spans="1:10" ht="16.149999999999999">
      <c r="A3" s="29" t="s">
        <v>180</v>
      </c>
      <c r="B3" s="337">
        <v>2609</v>
      </c>
      <c r="C3" s="329">
        <v>303</v>
      </c>
      <c r="D3" s="329">
        <v>754</v>
      </c>
      <c r="E3" s="329">
        <v>786</v>
      </c>
      <c r="F3" s="329">
        <v>351</v>
      </c>
      <c r="G3" s="329">
        <v>415</v>
      </c>
    </row>
    <row r="4" spans="1:10" ht="16.149999999999999">
      <c r="A4" s="166" t="s">
        <v>615</v>
      </c>
      <c r="B4" s="330">
        <v>122</v>
      </c>
      <c r="C4" s="330">
        <v>17</v>
      </c>
      <c r="D4" s="330">
        <v>24</v>
      </c>
      <c r="E4" s="330">
        <v>44</v>
      </c>
      <c r="F4" s="330">
        <v>29</v>
      </c>
      <c r="G4" s="330">
        <v>8</v>
      </c>
    </row>
    <row r="5" spans="1:10" ht="16.149999999999999">
      <c r="A5" s="166" t="s">
        <v>616</v>
      </c>
      <c r="B5" s="330">
        <v>15</v>
      </c>
      <c r="C5" s="330">
        <v>2</v>
      </c>
      <c r="D5" s="330">
        <v>8</v>
      </c>
      <c r="E5" s="330">
        <v>2</v>
      </c>
      <c r="F5" s="330">
        <v>1</v>
      </c>
      <c r="G5" s="330">
        <v>2</v>
      </c>
    </row>
    <row r="6" spans="1:10" ht="36.6" customHeight="1">
      <c r="A6" s="335" t="s">
        <v>617</v>
      </c>
      <c r="B6" s="330">
        <v>321</v>
      </c>
      <c r="C6" s="330">
        <v>29</v>
      </c>
      <c r="D6" s="330">
        <v>102</v>
      </c>
      <c r="E6" s="330">
        <v>101</v>
      </c>
      <c r="F6" s="330">
        <v>53</v>
      </c>
      <c r="G6" s="330">
        <v>36</v>
      </c>
      <c r="J6" s="388"/>
    </row>
    <row r="7" spans="1:10" ht="32.450000000000003">
      <c r="A7" s="336" t="s">
        <v>618</v>
      </c>
      <c r="B7" s="330">
        <v>712</v>
      </c>
      <c r="C7" s="330">
        <v>58</v>
      </c>
      <c r="D7" s="330">
        <v>210</v>
      </c>
      <c r="E7" s="330">
        <v>253</v>
      </c>
      <c r="F7" s="330">
        <v>116</v>
      </c>
      <c r="G7" s="330">
        <v>75</v>
      </c>
    </row>
    <row r="8" spans="1:10" ht="16.149999999999999">
      <c r="A8" s="330" t="s">
        <v>619</v>
      </c>
      <c r="B8" s="330">
        <v>170</v>
      </c>
      <c r="C8" s="330">
        <v>19</v>
      </c>
      <c r="D8" s="330">
        <v>40</v>
      </c>
      <c r="E8" s="330">
        <v>57</v>
      </c>
      <c r="F8" s="330">
        <v>22</v>
      </c>
      <c r="G8" s="330">
        <v>32</v>
      </c>
    </row>
    <row r="9" spans="1:10" ht="16.149999999999999">
      <c r="A9" s="330" t="s">
        <v>620</v>
      </c>
      <c r="B9" s="330">
        <v>56</v>
      </c>
      <c r="C9" s="330">
        <v>9</v>
      </c>
      <c r="D9" s="330">
        <v>16</v>
      </c>
      <c r="E9" s="330">
        <v>12</v>
      </c>
      <c r="F9" s="330">
        <v>3</v>
      </c>
      <c r="G9" s="330">
        <v>16</v>
      </c>
    </row>
    <row r="10" spans="1:10" ht="16.149999999999999">
      <c r="A10" s="330" t="s">
        <v>621</v>
      </c>
      <c r="B10" s="330">
        <v>55</v>
      </c>
      <c r="C10" s="330">
        <v>12</v>
      </c>
      <c r="D10" s="330">
        <v>27</v>
      </c>
      <c r="E10" s="330">
        <v>5</v>
      </c>
      <c r="F10" s="330">
        <v>3</v>
      </c>
      <c r="G10" s="330">
        <v>8</v>
      </c>
    </row>
    <row r="11" spans="1:10" ht="16.149999999999999">
      <c r="A11" s="330" t="s">
        <v>622</v>
      </c>
      <c r="B11" s="330">
        <v>107</v>
      </c>
      <c r="C11" s="330">
        <v>21</v>
      </c>
      <c r="D11" s="330">
        <v>16</v>
      </c>
      <c r="E11" s="330">
        <v>34</v>
      </c>
      <c r="F11" s="330">
        <v>5</v>
      </c>
      <c r="G11" s="330">
        <v>31</v>
      </c>
    </row>
    <row r="12" spans="1:10" ht="16.149999999999999">
      <c r="A12" s="330" t="s">
        <v>623</v>
      </c>
      <c r="B12" s="338">
        <v>1051</v>
      </c>
      <c r="C12" s="330">
        <v>136</v>
      </c>
      <c r="D12" s="330">
        <v>311</v>
      </c>
      <c r="E12" s="330">
        <v>278</v>
      </c>
      <c r="F12" s="330">
        <v>119</v>
      </c>
      <c r="G12" s="330">
        <v>207</v>
      </c>
    </row>
    <row r="13" spans="1:10">
      <c r="A13" s="26" t="s">
        <v>624</v>
      </c>
    </row>
  </sheetData>
  <mergeCells count="1">
    <mergeCell ref="A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FF4D7-1F8C-4EC8-A13B-BE5EE7B29798}">
  <dimension ref="A1:C11"/>
  <sheetViews>
    <sheetView workbookViewId="0">
      <selection activeCell="A9" sqref="A9"/>
    </sheetView>
  </sheetViews>
  <sheetFormatPr defaultRowHeight="14.45"/>
  <cols>
    <col min="1" max="1" width="40.85546875" customWidth="1"/>
    <col min="2" max="3" width="24.85546875" customWidth="1"/>
  </cols>
  <sheetData>
    <row r="1" spans="1:3" ht="56.25" customHeight="1">
      <c r="A1" s="403" t="s">
        <v>189</v>
      </c>
      <c r="B1" s="403"/>
      <c r="C1" s="403"/>
    </row>
    <row r="2" spans="1:3" ht="16.149999999999999">
      <c r="A2" s="71" t="s">
        <v>190</v>
      </c>
      <c r="B2" s="71" t="s">
        <v>180</v>
      </c>
      <c r="C2" s="71" t="s">
        <v>184</v>
      </c>
    </row>
    <row r="3" spans="1:3" ht="16.149999999999999">
      <c r="A3" s="284" t="s">
        <v>180</v>
      </c>
      <c r="B3" s="285">
        <v>302856</v>
      </c>
      <c r="C3" s="286">
        <v>100</v>
      </c>
    </row>
    <row r="4" spans="1:3" ht="16.149999999999999">
      <c r="A4" s="31" t="s">
        <v>191</v>
      </c>
      <c r="B4" s="32">
        <v>201486</v>
      </c>
      <c r="C4" s="33">
        <v>76.569595768048302</v>
      </c>
    </row>
    <row r="5" spans="1:3" ht="16.149999999999999">
      <c r="A5" s="31" t="s">
        <v>192</v>
      </c>
      <c r="B5" s="32">
        <v>41938</v>
      </c>
      <c r="C5" s="33">
        <v>15.937463185136485</v>
      </c>
    </row>
    <row r="6" spans="1:3" ht="16.149999999999999">
      <c r="A6" s="31" t="s">
        <v>193</v>
      </c>
      <c r="B6" s="32">
        <v>19717</v>
      </c>
      <c r="C6" s="33">
        <v>7.492941046815206</v>
      </c>
    </row>
    <row r="7" spans="1:3" ht="16.149999999999999">
      <c r="A7" s="31" t="s">
        <v>194</v>
      </c>
      <c r="B7" s="32">
        <v>39715</v>
      </c>
      <c r="C7" s="34" t="s">
        <v>195</v>
      </c>
    </row>
    <row r="8" spans="1:3">
      <c r="A8" s="26" t="s">
        <v>186</v>
      </c>
    </row>
    <row r="9" spans="1:3">
      <c r="A9" s="8" t="s">
        <v>196</v>
      </c>
    </row>
    <row r="10" spans="1:3" ht="47.45" customHeight="1">
      <c r="A10" s="404" t="s">
        <v>182</v>
      </c>
      <c r="B10" s="404"/>
      <c r="C10" s="404"/>
    </row>
    <row r="11" spans="1:3" ht="38.450000000000003" customHeight="1">
      <c r="A11" s="404"/>
      <c r="B11" s="404"/>
      <c r="C11" s="404"/>
    </row>
  </sheetData>
  <mergeCells count="2">
    <mergeCell ref="A1:C1"/>
    <mergeCell ref="A10:C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CEC8D-33B6-49C9-8DFD-488D7E6C6713}">
  <dimension ref="A1:D14"/>
  <sheetViews>
    <sheetView workbookViewId="0">
      <selection activeCell="A11" sqref="A11"/>
    </sheetView>
  </sheetViews>
  <sheetFormatPr defaultRowHeight="14.45"/>
  <cols>
    <col min="1" max="1" width="27.42578125" customWidth="1"/>
    <col min="2" max="4" width="26.5703125" customWidth="1"/>
  </cols>
  <sheetData>
    <row r="1" spans="1:4" ht="78.75" customHeight="1">
      <c r="A1" s="408" t="s">
        <v>197</v>
      </c>
      <c r="B1" s="408"/>
      <c r="C1" s="408"/>
      <c r="D1" s="408"/>
    </row>
    <row r="2" spans="1:4" ht="16.149999999999999">
      <c r="A2" s="409" t="s">
        <v>162</v>
      </c>
      <c r="B2" s="402" t="s">
        <v>180</v>
      </c>
      <c r="C2" s="402" t="s">
        <v>184</v>
      </c>
      <c r="D2" s="402"/>
    </row>
    <row r="3" spans="1:4" ht="16.149999999999999">
      <c r="A3" s="409"/>
      <c r="B3" s="402"/>
      <c r="C3" s="15" t="s">
        <v>198</v>
      </c>
      <c r="D3" s="15" t="s">
        <v>199</v>
      </c>
    </row>
    <row r="4" spans="1:4" ht="16.149999999999999">
      <c r="A4" s="16" t="s">
        <v>163</v>
      </c>
      <c r="B4" s="38">
        <v>110218</v>
      </c>
      <c r="C4" s="39">
        <v>75.159229889854657</v>
      </c>
      <c r="D4" s="39">
        <v>24.84077011014535</v>
      </c>
    </row>
    <row r="5" spans="1:4" ht="16.149999999999999">
      <c r="A5" s="19" t="s">
        <v>164</v>
      </c>
      <c r="B5" s="35">
        <v>8423</v>
      </c>
      <c r="C5" s="36">
        <v>74.664608809212879</v>
      </c>
      <c r="D5" s="36">
        <v>25.335391190787131</v>
      </c>
    </row>
    <row r="6" spans="1:4" ht="16.149999999999999">
      <c r="A6" s="19" t="s">
        <v>165</v>
      </c>
      <c r="B6" s="35">
        <v>19299</v>
      </c>
      <c r="C6" s="36">
        <v>77.522151406808646</v>
      </c>
      <c r="D6" s="36">
        <v>22.477848593191357</v>
      </c>
    </row>
    <row r="7" spans="1:4" ht="16.149999999999999">
      <c r="A7" s="19" t="s">
        <v>166</v>
      </c>
      <c r="B7" s="35">
        <v>56084</v>
      </c>
      <c r="C7" s="36">
        <v>74.750374438342476</v>
      </c>
      <c r="D7" s="36">
        <v>25.249625561657513</v>
      </c>
    </row>
    <row r="8" spans="1:4" ht="16.149999999999999">
      <c r="A8" s="19" t="s">
        <v>185</v>
      </c>
      <c r="B8" s="35">
        <v>17578</v>
      </c>
      <c r="C8" s="36">
        <v>76.339742860393685</v>
      </c>
      <c r="D8" s="36">
        <v>23.660257139606326</v>
      </c>
    </row>
    <row r="9" spans="1:4" ht="16.149999999999999">
      <c r="A9" s="19" t="s">
        <v>168</v>
      </c>
      <c r="B9" s="35">
        <v>8834</v>
      </c>
      <c r="C9" s="36">
        <v>70.715417704324196</v>
      </c>
      <c r="D9" s="36">
        <v>29.284582295675797</v>
      </c>
    </row>
    <row r="10" spans="1:4" ht="16.149999999999999">
      <c r="A10" s="24" t="s">
        <v>186</v>
      </c>
      <c r="B10" s="25"/>
      <c r="C10" s="25"/>
      <c r="D10" s="25"/>
    </row>
    <row r="11" spans="1:4">
      <c r="A11" s="8" t="s">
        <v>196</v>
      </c>
    </row>
    <row r="12" spans="1:4" ht="29.45" customHeight="1">
      <c r="A12" s="396" t="s">
        <v>182</v>
      </c>
      <c r="B12" s="399"/>
      <c r="C12" s="399"/>
      <c r="D12" s="399"/>
    </row>
    <row r="13" spans="1:4" ht="39.6" customHeight="1">
      <c r="A13" s="399"/>
      <c r="B13" s="399"/>
      <c r="C13" s="399"/>
      <c r="D13" s="399"/>
    </row>
    <row r="14" spans="1:4">
      <c r="A14" s="189"/>
      <c r="B14" s="189"/>
      <c r="C14" s="189"/>
      <c r="D14" s="189"/>
    </row>
  </sheetData>
  <mergeCells count="5">
    <mergeCell ref="A1:D1"/>
    <mergeCell ref="A2:A3"/>
    <mergeCell ref="B2:B3"/>
    <mergeCell ref="C2:D2"/>
    <mergeCell ref="A12:D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72127-D3DB-4CB9-BFEA-EACB47E0E3ED}">
  <dimension ref="A1:C14"/>
  <sheetViews>
    <sheetView workbookViewId="0">
      <selection activeCell="B23" sqref="B23"/>
    </sheetView>
  </sheetViews>
  <sheetFormatPr defaultRowHeight="14.45"/>
  <cols>
    <col min="1" max="1" width="37.28515625" customWidth="1"/>
    <col min="2" max="3" width="34.28515625" customWidth="1"/>
  </cols>
  <sheetData>
    <row r="1" spans="1:3" ht="51.75" customHeight="1">
      <c r="A1" s="403" t="s">
        <v>200</v>
      </c>
      <c r="B1" s="403"/>
      <c r="C1" s="403"/>
    </row>
    <row r="2" spans="1:3" ht="16.149999999999999">
      <c r="A2" s="15" t="s">
        <v>201</v>
      </c>
      <c r="B2" s="15" t="s">
        <v>180</v>
      </c>
      <c r="C2" s="15" t="s">
        <v>184</v>
      </c>
    </row>
    <row r="3" spans="1:3" ht="16.149999999999999">
      <c r="A3" s="37" t="s">
        <v>180</v>
      </c>
      <c r="B3" s="38">
        <v>173829</v>
      </c>
      <c r="C3" s="39">
        <v>100</v>
      </c>
    </row>
    <row r="4" spans="1:3" ht="16.149999999999999">
      <c r="A4" s="40" t="s">
        <v>202</v>
      </c>
      <c r="B4" s="35">
        <v>62303</v>
      </c>
      <c r="C4" s="36">
        <v>37.52085227854429</v>
      </c>
    </row>
    <row r="5" spans="1:3" ht="16.149999999999999">
      <c r="A5" s="40" t="s">
        <v>203</v>
      </c>
      <c r="B5" s="35">
        <v>20447</v>
      </c>
      <c r="C5" s="36">
        <v>12.313835072779721</v>
      </c>
    </row>
    <row r="6" spans="1:3" ht="16.149999999999999">
      <c r="A6" s="40" t="s">
        <v>204</v>
      </c>
      <c r="B6" s="35">
        <v>1804</v>
      </c>
      <c r="C6" s="36">
        <v>1.0864262958524291</v>
      </c>
    </row>
    <row r="7" spans="1:3" ht="16.149999999999999">
      <c r="A7" s="40" t="s">
        <v>205</v>
      </c>
      <c r="B7" s="35">
        <v>79917</v>
      </c>
      <c r="C7" s="36">
        <v>48.128564459888345</v>
      </c>
    </row>
    <row r="8" spans="1:3" ht="16.149999999999999">
      <c r="A8" s="40" t="s">
        <v>206</v>
      </c>
      <c r="B8" s="35">
        <v>1578</v>
      </c>
      <c r="C8" s="36">
        <v>0.95032189293521796</v>
      </c>
    </row>
    <row r="9" spans="1:3" ht="16.149999999999999">
      <c r="A9" s="40" t="s">
        <v>194</v>
      </c>
      <c r="B9" s="35">
        <v>7780</v>
      </c>
      <c r="C9" s="36" t="s">
        <v>195</v>
      </c>
    </row>
    <row r="10" spans="1:3" ht="16.149999999999999">
      <c r="A10" s="24" t="s">
        <v>186</v>
      </c>
      <c r="B10" s="25"/>
      <c r="C10" s="25"/>
    </row>
    <row r="11" spans="1:3">
      <c r="A11" s="8" t="s">
        <v>207</v>
      </c>
    </row>
    <row r="12" spans="1:3">
      <c r="A12" s="405" t="s">
        <v>208</v>
      </c>
      <c r="B12" s="405"/>
      <c r="C12" s="405"/>
    </row>
    <row r="13" spans="1:3">
      <c r="A13" s="405"/>
      <c r="B13" s="405"/>
      <c r="C13" s="405"/>
    </row>
    <row r="14" spans="1:3" ht="43.5" customHeight="1">
      <c r="A14" s="405"/>
      <c r="B14" s="405"/>
      <c r="C14" s="405"/>
    </row>
  </sheetData>
  <mergeCells count="2">
    <mergeCell ref="A1:C1"/>
    <mergeCell ref="A12:C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88B6E-DFEA-4324-94E2-8C3B7AB75E86}">
  <dimension ref="A1:C14"/>
  <sheetViews>
    <sheetView workbookViewId="0">
      <selection activeCell="B21" sqref="B21"/>
    </sheetView>
  </sheetViews>
  <sheetFormatPr defaultRowHeight="14.45"/>
  <cols>
    <col min="1" max="1" width="37.140625" customWidth="1"/>
    <col min="2" max="3" width="33.28515625" customWidth="1"/>
  </cols>
  <sheetData>
    <row r="1" spans="1:3" ht="66" customHeight="1">
      <c r="A1" s="408" t="s">
        <v>209</v>
      </c>
      <c r="B1" s="408"/>
      <c r="C1" s="408"/>
    </row>
    <row r="2" spans="1:3" ht="16.149999999999999">
      <c r="A2" s="15" t="s">
        <v>210</v>
      </c>
      <c r="B2" s="15" t="s">
        <v>180</v>
      </c>
      <c r="C2" s="15" t="s">
        <v>211</v>
      </c>
    </row>
    <row r="3" spans="1:3" ht="16.149999999999999">
      <c r="A3" s="37" t="s">
        <v>180</v>
      </c>
      <c r="B3" s="38">
        <v>173829</v>
      </c>
      <c r="C3" s="39">
        <v>100</v>
      </c>
    </row>
    <row r="4" spans="1:3" ht="16.149999999999999">
      <c r="A4" s="40" t="s">
        <v>212</v>
      </c>
      <c r="B4" s="35">
        <v>65418</v>
      </c>
      <c r="C4" s="36">
        <v>46.136919832711527</v>
      </c>
    </row>
    <row r="5" spans="1:3" ht="16.149999999999999">
      <c r="A5" s="40" t="s">
        <v>213</v>
      </c>
      <c r="B5" s="35">
        <v>58477</v>
      </c>
      <c r="C5" s="36">
        <v>41.241686707901067</v>
      </c>
    </row>
    <row r="6" spans="1:3" ht="16.149999999999999">
      <c r="A6" s="40" t="s">
        <v>214</v>
      </c>
      <c r="B6" s="35">
        <v>1551</v>
      </c>
      <c r="C6" s="36">
        <v>1.0938635033253168</v>
      </c>
    </row>
    <row r="7" spans="1:3" ht="16.149999999999999">
      <c r="A7" s="40" t="s">
        <v>215</v>
      </c>
      <c r="B7" s="35">
        <v>14595</v>
      </c>
      <c r="C7" s="36">
        <v>10.293319039995486</v>
      </c>
    </row>
    <row r="8" spans="1:3" ht="16.149999999999999">
      <c r="A8" s="40" t="s">
        <v>216</v>
      </c>
      <c r="B8" s="35">
        <v>1750</v>
      </c>
      <c r="C8" s="36">
        <v>1.234210916066605</v>
      </c>
    </row>
    <row r="9" spans="1:3" ht="16.149999999999999">
      <c r="A9" s="40" t="s">
        <v>194</v>
      </c>
      <c r="B9" s="35">
        <v>32038</v>
      </c>
      <c r="C9" s="36" t="s">
        <v>195</v>
      </c>
    </row>
    <row r="10" spans="1:3" ht="16.149999999999999">
      <c r="A10" s="24" t="s">
        <v>186</v>
      </c>
      <c r="B10" s="25"/>
      <c r="C10" s="25"/>
    </row>
    <row r="11" spans="1:3">
      <c r="A11" s="8" t="s">
        <v>196</v>
      </c>
    </row>
    <row r="12" spans="1:3">
      <c r="A12" s="405" t="s">
        <v>208</v>
      </c>
      <c r="B12" s="405"/>
      <c r="C12" s="405"/>
    </row>
    <row r="13" spans="1:3" ht="9" customHeight="1">
      <c r="A13" s="405"/>
      <c r="B13" s="405"/>
      <c r="C13" s="405"/>
    </row>
    <row r="14" spans="1:3" ht="45.6" customHeight="1">
      <c r="A14" s="405"/>
      <c r="B14" s="405"/>
      <c r="C14" s="405"/>
    </row>
  </sheetData>
  <mergeCells count="2">
    <mergeCell ref="A1:C1"/>
    <mergeCell ref="A12:C1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671ea57-2ce5-4a01-988a-3cfa9a895f9f" xsi:nil="true"/>
    <lcf76f155ced4ddcb4097134ff3c332f xmlns="16eafe7b-64e5-40df-8ec2-a0d2202d4a2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CBF51C3D0CD249ACA104285B211426" ma:contentTypeVersion="13" ma:contentTypeDescription="Crie um novo documento." ma:contentTypeScope="" ma:versionID="6e5fac70133039852db6dab1a40c2a75">
  <xsd:schema xmlns:xsd="http://www.w3.org/2001/XMLSchema" xmlns:xs="http://www.w3.org/2001/XMLSchema" xmlns:p="http://schemas.microsoft.com/office/2006/metadata/properties" xmlns:ns2="16eafe7b-64e5-40df-8ec2-a0d2202d4a2d" xmlns:ns3="8671ea57-2ce5-4a01-988a-3cfa9a895f9f" targetNamespace="http://schemas.microsoft.com/office/2006/metadata/properties" ma:root="true" ma:fieldsID="f32b336ab816c4767cdbfa7b6c59cd1b" ns2:_="" ns3:_="">
    <xsd:import namespace="16eafe7b-64e5-40df-8ec2-a0d2202d4a2d"/>
    <xsd:import namespace="8671ea57-2ce5-4a01-988a-3cfa9a895f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afe7b-64e5-40df-8ec2-a0d2202d4a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429f7ce5-b1b4-49c2-b478-55053dc3db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1ea57-2ce5-4a01-988a-3cfa9a895f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953ecc6-6377-4c66-bacc-87ee2149f888}" ma:internalName="TaxCatchAll" ma:showField="CatchAllData" ma:web="8671ea57-2ce5-4a01-988a-3cfa9a895f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C35A35-AB6D-429D-9C71-4F8B50417064}"/>
</file>

<file path=customXml/itemProps2.xml><?xml version="1.0" encoding="utf-8"?>
<ds:datastoreItem xmlns:ds="http://schemas.openxmlformats.org/officeDocument/2006/customXml" ds:itemID="{2AB4097C-C48E-42E8-B7BA-1E503C2213B0}"/>
</file>

<file path=customXml/itemProps3.xml><?xml version="1.0" encoding="utf-8"?>
<ds:datastoreItem xmlns:ds="http://schemas.openxmlformats.org/officeDocument/2006/customXml" ds:itemID="{4AC79898-28B2-4087-9311-FF730349C8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Kamilla Dantas Matias</cp:lastModifiedBy>
  <cp:revision/>
  <dcterms:created xsi:type="dcterms:W3CDTF">2024-12-05T19:08:16Z</dcterms:created>
  <dcterms:modified xsi:type="dcterms:W3CDTF">2025-05-14T19:43:51Z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0x010100C9CBF51C3D0CD249ACA104285B211426</vt:lpwstr>
  </property>
  <property fmtid="{D5CDD505-2E9C-101B-9397-08002B2CF9AE}" pid="3" name="MediaServiceImageTags">
    <vt:lpwstr/>
  </property>
</Properties>
</file>